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95" windowHeight="8085" tabRatio="804" activeTab="1"/>
  </bookViews>
  <sheets>
    <sheet name="Confectionery" sheetId="11" r:id="rId1"/>
    <sheet name="Flour,Сereals,Оil" sheetId="4" r:id="rId2"/>
    <sheet name="Frozen berries,mushrooms" sheetId="6" r:id="rId3"/>
    <sheet name=" Ingredients " sheetId="5" r:id="rId4"/>
    <sheet name="Siberian foods" sheetId="12" r:id="rId5"/>
  </sheets>
  <definedNames>
    <definedName name="__xlnm.Print_Area">#REF!</definedName>
  </definedNames>
  <calcPr calcId="125725" refMode="R1C1"/>
</workbook>
</file>

<file path=xl/calcChain.xml><?xml version="1.0" encoding="utf-8"?>
<calcChain xmlns="http://schemas.openxmlformats.org/spreadsheetml/2006/main">
  <c r="C109" i="6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B860" i="11"/>
  <c r="B859"/>
  <c r="B858"/>
  <c r="B857"/>
  <c r="B856"/>
  <c r="B855"/>
  <c r="B854"/>
  <c r="B853"/>
  <c r="B852"/>
  <c r="B851"/>
  <c r="B849"/>
  <c r="B848"/>
  <c r="B847"/>
  <c r="B846"/>
  <c r="B845"/>
  <c r="B844"/>
  <c r="B843"/>
  <c r="B842"/>
  <c r="B841"/>
  <c r="B840"/>
  <c r="B839"/>
  <c r="B838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3"/>
  <c r="B782"/>
  <c r="B781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3"/>
  <c r="B742"/>
  <c r="B741"/>
  <c r="B740"/>
  <c r="B739"/>
  <c r="B738"/>
  <c r="B737"/>
  <c r="B736"/>
  <c r="B735"/>
  <c r="B734"/>
  <c r="B733"/>
  <c r="B732"/>
  <c r="B731"/>
  <c r="B730"/>
  <c r="B729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09"/>
  <c r="B708"/>
  <c r="B707"/>
  <c r="B706"/>
  <c r="B705"/>
  <c r="B704"/>
  <c r="B703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5"/>
  <c r="B674"/>
  <c r="B673"/>
  <c r="B672"/>
  <c r="B671"/>
  <c r="B670"/>
  <c r="B669"/>
  <c r="B668"/>
  <c r="B666"/>
  <c r="B665"/>
  <c r="B664"/>
  <c r="B663"/>
  <c r="B662"/>
  <c r="B661"/>
  <c r="B659"/>
  <c r="B658"/>
  <c r="B657"/>
  <c r="B656"/>
  <c r="B655"/>
  <c r="B654"/>
  <c r="B653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6"/>
  <c r="B505"/>
  <c r="B504"/>
  <c r="B503"/>
  <c r="B502"/>
  <c r="B501"/>
  <c r="B500"/>
  <c r="B499"/>
  <c r="B498"/>
  <c r="B497"/>
  <c r="B496"/>
  <c r="B495"/>
  <c r="B494"/>
  <c r="B493"/>
  <c r="B492"/>
  <c r="B490"/>
  <c r="B489"/>
  <c r="B488"/>
  <c r="B487"/>
  <c r="B486"/>
  <c r="B485"/>
  <c r="B483"/>
  <c r="B482"/>
  <c r="B481"/>
  <c r="B480"/>
  <c r="B479"/>
  <c r="B478"/>
  <c r="B476"/>
  <c r="B475"/>
  <c r="B474"/>
  <c r="B473"/>
  <c r="B472"/>
  <c r="B471"/>
  <c r="B470"/>
  <c r="B468"/>
  <c r="B467"/>
  <c r="B466"/>
  <c r="B465"/>
  <c r="B464"/>
  <c r="B463"/>
  <c r="B462"/>
  <c r="B461"/>
  <c r="B460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0"/>
  <c r="B429"/>
  <c r="B428"/>
  <c r="B427"/>
  <c r="B426"/>
  <c r="B425"/>
  <c r="B424"/>
  <c r="B423"/>
  <c r="B422"/>
  <c r="B421"/>
  <c r="B420"/>
  <c r="B419"/>
  <c r="B418"/>
  <c r="B417"/>
  <c r="B416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1"/>
  <c r="B330"/>
  <c r="B329"/>
  <c r="B328"/>
  <c r="B327"/>
  <c r="B326"/>
  <c r="B325"/>
  <c r="B324"/>
  <c r="B323"/>
  <c r="B322"/>
  <c r="B321"/>
  <c r="B318"/>
  <c r="B317"/>
  <c r="B316"/>
  <c r="B315"/>
  <c r="B314"/>
  <c r="B313"/>
  <c r="B312"/>
  <c r="B311"/>
  <c r="B310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8"/>
  <c r="B257"/>
  <c r="B256"/>
  <c r="B255"/>
  <c r="B254"/>
  <c r="B253"/>
  <c r="B252"/>
  <c r="B251"/>
  <c r="B250"/>
  <c r="B249"/>
  <c r="B248"/>
  <c r="B247"/>
  <c r="B246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2"/>
  <c r="B221"/>
  <c r="B220"/>
  <c r="B219"/>
  <c r="B218"/>
  <c r="B217"/>
  <c r="B216"/>
  <c r="B215"/>
  <c r="B214"/>
  <c r="B213"/>
  <c r="B211"/>
  <c r="B210"/>
  <c r="B209"/>
  <c r="B208"/>
  <c r="B206"/>
  <c r="B205"/>
  <c r="B204"/>
  <c r="B203"/>
  <c r="B202"/>
  <c r="B200"/>
  <c r="B199"/>
  <c r="B198"/>
  <c r="B197"/>
  <c r="B196"/>
  <c r="B195"/>
  <c r="B194"/>
  <c r="B193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7"/>
  <c r="B106"/>
  <c r="B105"/>
  <c r="B104"/>
  <c r="B103"/>
  <c r="B102"/>
  <c r="B101"/>
  <c r="B100"/>
  <c r="B99"/>
  <c r="B98"/>
  <c r="B97"/>
  <c r="B96"/>
  <c r="B95"/>
  <c r="B94"/>
  <c r="B93"/>
  <c r="B92"/>
  <c r="B91"/>
  <c r="B89"/>
  <c r="B88"/>
  <c r="B87"/>
  <c r="B86"/>
  <c r="B85"/>
  <c r="B84"/>
  <c r="B83"/>
  <c r="B82"/>
  <c r="B81"/>
  <c r="B80"/>
  <c r="B78"/>
  <c r="B77"/>
  <c r="B76"/>
  <c r="B75"/>
  <c r="B74"/>
  <c r="B73"/>
  <c r="B72"/>
  <c r="B71"/>
  <c r="B70"/>
  <c r="B69"/>
  <c r="B68"/>
  <c r="B67"/>
  <c r="B66"/>
  <c r="B65"/>
  <c r="B64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0"/>
  <c r="B19"/>
  <c r="B17"/>
  <c r="B16"/>
  <c r="B15"/>
  <c r="B14"/>
  <c r="B13"/>
  <c r="B12"/>
  <c r="B11"/>
  <c r="B10"/>
  <c r="B7"/>
  <c r="B6"/>
  <c r="B5"/>
  <c r="B4"/>
  <c r="C289" i="12"/>
  <c r="C288"/>
  <c r="C287"/>
  <c r="C284"/>
  <c r="C283"/>
  <c r="C282"/>
  <c r="C278"/>
  <c r="C277"/>
  <c r="C276"/>
  <c r="C275"/>
  <c r="C274"/>
  <c r="C273"/>
  <c r="C272"/>
  <c r="C271"/>
  <c r="C268"/>
  <c r="C267"/>
  <c r="C266"/>
  <c r="C263"/>
  <c r="C262"/>
  <c r="C261"/>
  <c r="C260"/>
  <c r="C256"/>
  <c r="C255"/>
  <c r="C254"/>
  <c r="C253"/>
  <c r="C252"/>
  <c r="C247"/>
  <c r="C244"/>
  <c r="C243"/>
  <c r="C242"/>
  <c r="C241"/>
  <c r="C236"/>
  <c r="C235"/>
  <c r="C234"/>
  <c r="C233"/>
  <c r="C232"/>
  <c r="C231"/>
  <c r="C230"/>
  <c r="C229"/>
  <c r="C228"/>
  <c r="C227"/>
  <c r="C226"/>
  <c r="C221"/>
  <c r="C220"/>
  <c r="C219"/>
  <c r="C218"/>
  <c r="C217"/>
  <c r="C216"/>
  <c r="C215"/>
  <c r="C212"/>
  <c r="C211"/>
  <c r="C210"/>
  <c r="C209"/>
  <c r="C206"/>
  <c r="C205"/>
  <c r="C204"/>
  <c r="C199"/>
  <c r="C198"/>
  <c r="C197"/>
  <c r="C194"/>
  <c r="C193"/>
  <c r="C192"/>
  <c r="C191"/>
  <c r="C190"/>
  <c r="C189"/>
  <c r="C186"/>
  <c r="C185"/>
  <c r="C184"/>
  <c r="C183"/>
  <c r="C176"/>
  <c r="C174"/>
  <c r="C173"/>
  <c r="C172"/>
  <c r="C171"/>
  <c r="C170"/>
  <c r="C169"/>
  <c r="C168"/>
  <c r="C167"/>
  <c r="C166"/>
  <c r="C165"/>
  <c r="C164"/>
  <c r="C160"/>
  <c r="C159"/>
  <c r="C158"/>
  <c r="C157"/>
  <c r="C154"/>
  <c r="C153"/>
  <c r="C152"/>
  <c r="C151"/>
  <c r="C146"/>
  <c r="C145"/>
  <c r="C144"/>
  <c r="C143"/>
  <c r="C142"/>
  <c r="C141"/>
  <c r="C140"/>
  <c r="C137"/>
  <c r="C136"/>
  <c r="C135"/>
  <c r="C134"/>
  <c r="C133"/>
  <c r="C130"/>
  <c r="C127"/>
  <c r="C124"/>
  <c r="C121"/>
  <c r="C118"/>
  <c r="C117"/>
  <c r="C116"/>
  <c r="C115"/>
  <c r="C114"/>
  <c r="C113"/>
  <c r="C109"/>
  <c r="C108"/>
  <c r="C107"/>
  <c r="C106"/>
  <c r="C105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6"/>
  <c r="C65"/>
  <c r="C64"/>
  <c r="C63"/>
  <c r="C60"/>
  <c r="C59"/>
  <c r="C58"/>
  <c r="C55"/>
  <c r="C54"/>
  <c r="C53"/>
  <c r="C52"/>
  <c r="C51"/>
  <c r="C50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5"/>
  <c r="C24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<sst xmlns="http://schemas.openxmlformats.org/spreadsheetml/2006/main" count="3830" uniqueCount="1402">
  <si>
    <t xml:space="preserve">Наименование </t>
  </si>
  <si>
    <t>50-75</t>
  </si>
  <si>
    <t>0,65-1</t>
  </si>
  <si>
    <t>FLOUR</t>
  </si>
  <si>
    <t>Wheat flour from soft wheat, Bakery, first grade</t>
  </si>
  <si>
    <t>Rye flour</t>
  </si>
  <si>
    <t>SUNFLOWER</t>
  </si>
  <si>
    <t>Sunflower to earn up to standard indicators</t>
  </si>
  <si>
    <t>SUNFLOWER CALIBRATED</t>
  </si>
  <si>
    <t>sunflower kernel highest grade</t>
  </si>
  <si>
    <t>sunflower kernel, first grade</t>
  </si>
  <si>
    <t>sunflower kernel crushing</t>
  </si>
  <si>
    <t>sunflower rape-cake</t>
  </si>
  <si>
    <t>High protein flour (sunflower)</t>
  </si>
  <si>
    <t>LINEN</t>
  </si>
  <si>
    <t>Technical linseed oil</t>
  </si>
  <si>
    <t>Flaxen oil food neraf</t>
  </si>
  <si>
    <t>Oil cake lyanyanoy shell protein 38-39%</t>
  </si>
  <si>
    <t>Corn</t>
  </si>
  <si>
    <t>Flour flax</t>
  </si>
  <si>
    <t>Bad omega book with recipes</t>
  </si>
  <si>
    <t>Seed flax crunchy</t>
  </si>
  <si>
    <t>Flaxen oil Premium</t>
  </si>
  <si>
    <t>Oil linseed highest grade</t>
  </si>
  <si>
    <t>50 kg</t>
  </si>
  <si>
    <t>in bulk</t>
  </si>
  <si>
    <t>30 kg</t>
  </si>
  <si>
    <t>35 kg</t>
  </si>
  <si>
    <t>40 kg</t>
  </si>
  <si>
    <t>protein 28-30</t>
  </si>
  <si>
    <t>protein 35-36</t>
  </si>
  <si>
    <t>protein 43.5%</t>
  </si>
  <si>
    <t>25 kg</t>
  </si>
  <si>
    <t>weight</t>
  </si>
  <si>
    <t>Bundle of 300gr</t>
  </si>
  <si>
    <t>Bundle 300 g</t>
  </si>
  <si>
    <t>Booth 200 ml</t>
  </si>
  <si>
    <t>Booth 200ml</t>
  </si>
  <si>
    <t>EUR / kg</t>
  </si>
  <si>
    <t>Packing bags</t>
  </si>
  <si>
    <t>rub/ kg</t>
  </si>
  <si>
    <t xml:space="preserve">Product </t>
  </si>
  <si>
    <t>Oat groats not broken GOST</t>
  </si>
  <si>
    <t>Split peas, 1 grade GOST 6201-68</t>
  </si>
  <si>
    <t>Buckwheat, 1st grade GOST 55290-2012</t>
  </si>
  <si>
    <t>Pearl barley, 1st grade GOST 5784-60</t>
  </si>
  <si>
    <t>Barley grits 1 grade GOST 5784-60</t>
  </si>
  <si>
    <t>Groats wheaten of durum</t>
  </si>
  <si>
    <t>Millet, 1st grade GOST 572-60</t>
  </si>
  <si>
    <t>Semolina "M", 1st grade GOST 7022-97</t>
  </si>
  <si>
    <t>Figure round Krasnodar TU</t>
  </si>
  <si>
    <t>Beans red variegated</t>
  </si>
  <si>
    <t>Peas</t>
  </si>
  <si>
    <t>Oats in bags</t>
  </si>
  <si>
    <t>Barley bagged</t>
  </si>
  <si>
    <t>Oat Flakes "Hercules", 1st grade GOST 21149-93</t>
  </si>
  <si>
    <t>SUGAR</t>
  </si>
  <si>
    <t>Sugar. GOST 21-94. Harvest 2015.</t>
  </si>
  <si>
    <t>Corn oil food neraf</t>
  </si>
  <si>
    <t>Groats corn №6</t>
  </si>
  <si>
    <t>Groats corn №5</t>
  </si>
  <si>
    <t>Groats corn Fast Food</t>
  </si>
  <si>
    <t>The flakes do not require cooking NTV</t>
  </si>
  <si>
    <t>Corn flour (finely ground) TA</t>
  </si>
  <si>
    <t>Wheat bran fluffy</t>
  </si>
  <si>
    <t>bran granulated</t>
  </si>
  <si>
    <t>Universal ration in granules</t>
  </si>
  <si>
    <t>Fodder for cattle, Fodder for pigs pellets</t>
  </si>
  <si>
    <t>Feed for carp fish protein 23%</t>
  </si>
  <si>
    <t>Feed for laying hens and broilers</t>
  </si>
  <si>
    <t>Feed for chickens ovigerous</t>
  </si>
  <si>
    <t>Feed pellets for rabbits</t>
  </si>
  <si>
    <t>Muchka pea</t>
  </si>
  <si>
    <t>Muchka barley</t>
  </si>
  <si>
    <t>45 kg</t>
  </si>
  <si>
    <t>Flour 1,2,first class, GOST R 52189-2003, GOST R52809-2007</t>
  </si>
  <si>
    <t>Feed for Agricultural animals</t>
  </si>
  <si>
    <t xml:space="preserve"> GRAIN </t>
  </si>
  <si>
    <t xml:space="preserve"> </t>
  </si>
  <si>
    <t xml:space="preserve">            7DAYS</t>
  </si>
  <si>
    <t>по запросу</t>
  </si>
  <si>
    <t>евро/кг</t>
  </si>
  <si>
    <t>Name</t>
  </si>
  <si>
    <t>Price rub</t>
  </si>
  <si>
    <t>Place</t>
  </si>
  <si>
    <t xml:space="preserve">Shelf Life </t>
  </si>
  <si>
    <t>Storage Temperature</t>
  </si>
  <si>
    <t>Lingonberry 200 g (Rep. Of Karelia) 1/30</t>
  </si>
  <si>
    <t>pcs</t>
  </si>
  <si>
    <t xml:space="preserve">18 months </t>
  </si>
  <si>
    <t>-15 to -18 * C.</t>
  </si>
  <si>
    <t>Crowberry 200 g (Rep. Of Karelia) 1/30</t>
  </si>
  <si>
    <t>Blueberries 200 g (Rep. Of Karelia) 1/30</t>
  </si>
  <si>
    <t>Cranberry 200 g (Rep. Of Karelia) 1/30</t>
  </si>
  <si>
    <t>Red currants 200 g (Rep. Of Karelia) 1/30</t>
  </si>
  <si>
    <t>Cloudberry tray 300 g (Rep. Of Karelia) 1/30</t>
  </si>
  <si>
    <t>Sea buckthorn 200 g (Rep. Of Karelia) 1/30</t>
  </si>
  <si>
    <t>Blackcurrant 200 g (Rep. Of Karelia) 1/30</t>
  </si>
  <si>
    <t>Chokeberry 200g (Rep. Of Karelia) 1/30</t>
  </si>
  <si>
    <t>Lingonberry, electronic cleaning EM 10 kg (Rep. Of Karelia)</t>
  </si>
  <si>
    <t>kg</t>
  </si>
  <si>
    <t>Lingonberry purified 10 kg</t>
  </si>
  <si>
    <t>Cherry pitted 1 class 10 kg</t>
  </si>
  <si>
    <t>Blackberry 1 class 10 kg</t>
  </si>
  <si>
    <t>Strawberries 2 class 10 kg</t>
  </si>
  <si>
    <t>Cranberry purified 10 kg</t>
  </si>
  <si>
    <t>Red currants 10 kg</t>
  </si>
  <si>
    <t>Raspberry whole 10 kg</t>
  </si>
  <si>
    <t>Seabuckthorn purified 10 kg</t>
  </si>
  <si>
    <t>Black currants cleaned 10 kg</t>
  </si>
  <si>
    <t>Blueberries purified 10 kg</t>
  </si>
  <si>
    <t>Smelt s / m (Far East) 1/20</t>
  </si>
  <si>
    <t xml:space="preserve">12 months </t>
  </si>
  <si>
    <t xml:space="preserve"> -18*С</t>
  </si>
  <si>
    <t>Whitefish s / m 0,6+ (Lena River) 1/30</t>
  </si>
  <si>
    <t xml:space="preserve">6 months </t>
  </si>
  <si>
    <t>Whitefish s / m 1+ (Lena River) 1/30</t>
  </si>
  <si>
    <t>Whitefish s / m 1,5+ (Lena River) 1/30</t>
  </si>
  <si>
    <t>Nelma s / m 1-3 (Lena River) 1/30</t>
  </si>
  <si>
    <t>Nelma s / m 3-4 (Lena River) 1/30</t>
  </si>
  <si>
    <t>Nelma s / m 4+ (Lena River) 1/30</t>
  </si>
  <si>
    <t>Nelma s / m 5+ (Lena River) 1/30</t>
  </si>
  <si>
    <t>Nelma s / m 8+ (Tiksi) 1/30</t>
  </si>
  <si>
    <t>Sockeye salmon b / g C / m 1,5+ 1/22</t>
  </si>
  <si>
    <t>Omul s / m (Lena River) 1/30 winter catch</t>
  </si>
  <si>
    <t>Omul s / m (Baikal) 1/25</t>
  </si>
  <si>
    <t>Omul s / m calibrated (Baikal)</t>
  </si>
  <si>
    <t>Whitefish s / m (Lena River) 1/30</t>
  </si>
  <si>
    <t>Herring Olyutor s / m of 300-400 g of 1/20</t>
  </si>
  <si>
    <t>Whitefish s / m (Baikal)</t>
  </si>
  <si>
    <t>Whitefish s / m 400+ (Lena River) 1/30</t>
  </si>
  <si>
    <t>Grayling s / m (Baikal)</t>
  </si>
  <si>
    <t>Northern fish scrap</t>
  </si>
  <si>
    <t>Salmon</t>
  </si>
  <si>
    <t>Salmon with / m Premium Chile 6-7 1/30</t>
  </si>
  <si>
    <t>Salmon fillets C / N s / m, Trimm C, / y</t>
  </si>
  <si>
    <t>Cold smoked fish</t>
  </si>
  <si>
    <t>Smelt Smoked (Far East) 1/5</t>
  </si>
  <si>
    <t>2 months.</t>
  </si>
  <si>
    <t>from 0 * C to -8</t>
  </si>
  <si>
    <t>Whitefish slices X / K / 100 g at the sliced ​​(Yakutsk)</t>
  </si>
  <si>
    <t>PC</t>
  </si>
  <si>
    <t>40 days.</t>
  </si>
  <si>
    <t>Whitefish back h / k w / v (Lena river) 1/5</t>
  </si>
  <si>
    <t>45d day.</t>
  </si>
  <si>
    <t>from 0 to -5 * C</t>
  </si>
  <si>
    <t>Whitefish back h / k (pos. Dudinka) 1/5</t>
  </si>
  <si>
    <t>45 days.</t>
  </si>
  <si>
    <t>Whitefish fillets h / k w / v (Lena river) 1/5</t>
  </si>
  <si>
    <t>White salmon slices X / K / 100 g at the sliced ​​(Yakutsk)</t>
  </si>
  <si>
    <t>Nelma back h / k (Lena river) 1/5</t>
  </si>
  <si>
    <t>Nelma back h / k (pos. Dudinka) 1/5</t>
  </si>
  <si>
    <t>White salmon fillets h / K / y (Lena river) 1/5</t>
  </si>
  <si>
    <t>60 days.</t>
  </si>
  <si>
    <t>White salmon fillets h / k a / m (pos. Dudinka) 1/5</t>
  </si>
  <si>
    <t>3 months</t>
  </si>
  <si>
    <t>Omul slices X / K / 100 g at the sliced ​​(Yakutsk)</t>
  </si>
  <si>
    <t>Omul back h / k w / v (Lena river) 1/5</t>
  </si>
  <si>
    <t>-4 to -8 C *</t>
  </si>
  <si>
    <t>Omul fillets h / k w / v (Lena river) 1/5</t>
  </si>
  <si>
    <t>90 days.</t>
  </si>
  <si>
    <t>Omul x / c to / from the middle (gutted) 100-150 g (Baikal) 1/5</t>
  </si>
  <si>
    <t>Whitefish x / K / y (Lena) 1/5</t>
  </si>
  <si>
    <t>-2 to -8 C *</t>
  </si>
  <si>
    <t>Whitefish gutted x / k (pos. Dudinka) 1/5</t>
  </si>
  <si>
    <t>Chir slices X / K / 100 g at the sliced ​​(Yakutsk)</t>
  </si>
  <si>
    <t>Pike fillets h / k (pos. Dudinka) 1/5</t>
  </si>
  <si>
    <t>Pike fillets h / k (p. Lena) 1/5</t>
  </si>
  <si>
    <t>Fish, dried</t>
  </si>
  <si>
    <t>Dried smelt roe (Far East) 1/5</t>
  </si>
  <si>
    <t>4 months</t>
  </si>
  <si>
    <t>Sun-dried whitefish "original" - Jukola (Lena river) 1/5</t>
  </si>
  <si>
    <t>Sun-dried whitefish (Jukola) in multiples of 100 g (Yakutsk)</t>
  </si>
  <si>
    <t>Keta (Jukola) 100g dried (Yakutsk)</t>
  </si>
  <si>
    <t>Whitefish gutted sun-dried (pos. Dudinka) 1/5</t>
  </si>
  <si>
    <t>Pike (Jukola) dried (Yakutsk)</t>
  </si>
  <si>
    <t>от 0 до -8*С</t>
  </si>
  <si>
    <t>Salted fish</t>
  </si>
  <si>
    <t>Whitefish fillets with the / s / y (Lena river) 1/5</t>
  </si>
  <si>
    <t>30 days.</t>
  </si>
  <si>
    <t>Omul fillet with / s / y (Lena river) 1/5</t>
  </si>
  <si>
    <t>Omul s / s y. 1.0 kg (Baikal)</t>
  </si>
  <si>
    <t>Preserves</t>
  </si>
  <si>
    <t>Omul Barguzinsky in oil 150 g (Baikal) 1/30</t>
  </si>
  <si>
    <t>90 day.</t>
  </si>
  <si>
    <t>Omul Ambassadors from / to 150 g (Baikal) 1/30</t>
  </si>
  <si>
    <t>Omul Gala s / s 150 g (with cranberries) (Baikal) 1/30</t>
  </si>
  <si>
    <t>Whitefish with oil / 150 g (Baikal) 1/30</t>
  </si>
  <si>
    <t>Canned food</t>
  </si>
  <si>
    <t>"Salekhard Factory"</t>
  </si>
  <si>
    <t>Whitefish fried in m / s 240g 1/48</t>
  </si>
  <si>
    <t>24 months</t>
  </si>
  <si>
    <t>from 0 to + 20 * C.</t>
  </si>
  <si>
    <t>Burbot in tomato sauce, 240 g 1/48</t>
  </si>
  <si>
    <t>Burbot fillet m / z 240 1/48</t>
  </si>
  <si>
    <t>Burbot fillet smoked. oil 240 g 1/48</t>
  </si>
  <si>
    <t>Burbot fillet natures. with the addition of oil 240 g 1/48</t>
  </si>
  <si>
    <t>The liver of burbot, natural 230 g 1/48</t>
  </si>
  <si>
    <t>Burbot liver in tomato sauce, 240 g 1/48</t>
  </si>
  <si>
    <t>Humpback whitefish in m / s, 240 g 1/48</t>
  </si>
  <si>
    <t>Humpback whitefish jelly, 240 g of</t>
  </si>
  <si>
    <t>Humpback whitefish fried in m / s, 240 g 1/48</t>
  </si>
  <si>
    <t>Siberian whitefish in m / s 240 g 1/48</t>
  </si>
  <si>
    <t>Siberian whitefish smoked in oil, 220 g 1/48</t>
  </si>
  <si>
    <t>Whitefish Siberian natures. with the addition of oil 210 g 1/48</t>
  </si>
  <si>
    <t>Siberian whitefish fried in split in the T / C, 240 grams of 1/48</t>
  </si>
  <si>
    <t>Cheese in tomato sauce, 240 g 1/48</t>
  </si>
  <si>
    <t>Cheese in jelly, 240 g</t>
  </si>
  <si>
    <t>Curd fried in m / s 240 g 1/48</t>
  </si>
  <si>
    <t>Curd natures. with the addition of oil 240 g 1/48</t>
  </si>
  <si>
    <t>A fine-mesh meatballs m / s, 240 g 1/48</t>
  </si>
  <si>
    <t>Meatballs of white fish with vegetables in the T / C, 240 grams of 1/48</t>
  </si>
  <si>
    <t>Meatballs from ordinary fish with vegetables in the T / C, 240 grams of 1/48</t>
  </si>
  <si>
    <t>Chir in jelly 240 g 1/48</t>
  </si>
  <si>
    <t>Chir natures in t / d to 240 1/48</t>
  </si>
  <si>
    <t>Pike in tomato sauce, 240 g 1/48</t>
  </si>
  <si>
    <t>Pike natural with oil, 240 grams of 1/48</t>
  </si>
  <si>
    <t>Pike fillet in tomato sauce, 240 g 1/48</t>
  </si>
  <si>
    <t>Pike filet natural with oil, 240 grams of 1/48</t>
  </si>
  <si>
    <t>Ide in tomato sauce, 240 g</t>
  </si>
  <si>
    <t>Ide smoked in oil, 240 grams of 1/48</t>
  </si>
  <si>
    <t>Ide natures. with the addition of oil 240 g 1/48</t>
  </si>
  <si>
    <t>Ide life safety. in m / s with wine and prunes 240 g 1/48</t>
  </si>
  <si>
    <t>Ide fried in m / s 240 g</t>
  </si>
  <si>
    <t>Caviar</t>
  </si>
  <si>
    <t>Keta Caviar</t>
  </si>
  <si>
    <t>Caviar of coho salmon</t>
  </si>
  <si>
    <t>Caviar Omulevaya</t>
  </si>
  <si>
    <t>от 0 до -6*С</t>
  </si>
  <si>
    <t>Whitefish Caviar</t>
  </si>
  <si>
    <t>Trout Caviar</t>
  </si>
  <si>
    <t>6 months</t>
  </si>
  <si>
    <t>Икра Сига</t>
  </si>
  <si>
    <t>Икра Форели</t>
  </si>
  <si>
    <t>Venison</t>
  </si>
  <si>
    <t>Venison tenderloin 1/20</t>
  </si>
  <si>
    <t>Venison Loin b / c (loin) 1/20</t>
  </si>
  <si>
    <t>Venison Leg b / c (Schnitzel) 1/20</t>
  </si>
  <si>
    <t>Venison Leg b / c (hip portion) 1/20</t>
  </si>
  <si>
    <t>Venison meat cutlet 1/20</t>
  </si>
  <si>
    <t>Venison Mincemeat "Home" Venison 800 g</t>
  </si>
  <si>
    <t>Siberian stag</t>
  </si>
  <si>
    <t>Red deer bone</t>
  </si>
  <si>
    <t>Roe</t>
  </si>
  <si>
    <t>Roe on the bone</t>
  </si>
  <si>
    <t>Elk</t>
  </si>
  <si>
    <t>Moose on the bone</t>
  </si>
  <si>
    <t>Bear</t>
  </si>
  <si>
    <t>Bear fat (natural, no additives)</t>
  </si>
  <si>
    <t>l</t>
  </si>
  <si>
    <t>Semis</t>
  </si>
  <si>
    <t>Sausage "reindeer"</t>
  </si>
  <si>
    <t>Sausages frying Picnic venison 500 g 1/24</t>
  </si>
  <si>
    <t>60 сут.</t>
  </si>
  <si>
    <t>Venison Skewer homemade venison 1 kg</t>
  </si>
  <si>
    <t>Venison goulash Venison 450 g 1/24</t>
  </si>
  <si>
    <t>Venison chop Venison 450 g 1/24</t>
  </si>
  <si>
    <t>Finished Products</t>
  </si>
  <si>
    <t>Carpaccio from / to venison 1/20</t>
  </si>
  <si>
    <t>60 days</t>
  </si>
  <si>
    <t>from 0 to + 6 * C</t>
  </si>
  <si>
    <t>Venison Sausage w / Servelat "Moscow"</t>
  </si>
  <si>
    <t>+12 to + 14 * C</t>
  </si>
  <si>
    <t>Smoked sausages "Sudzhukovye" 1st grade</t>
  </si>
  <si>
    <t>+12 to + 15 * C</t>
  </si>
  <si>
    <t>Smoked Sausage "Polar"</t>
  </si>
  <si>
    <t>Sausage smoked "North" (fibrouz)</t>
  </si>
  <si>
    <t>Sausage smoked "North" N / A (bagel)</t>
  </si>
  <si>
    <t>Sudzhuk smoked "Polar"</t>
  </si>
  <si>
    <t>from 0 to + 4 * C</t>
  </si>
  <si>
    <t>Jerky</t>
  </si>
  <si>
    <t>Jerky - weight</t>
  </si>
  <si>
    <t>Sliced ​​venison with / in (Krasnoyarsk) 1/5</t>
  </si>
  <si>
    <t>+3 to + 20 * C.</t>
  </si>
  <si>
    <t>Chips Venison meat with / in (Krasnoyarsk) 1/5</t>
  </si>
  <si>
    <t>Chips "Nyamsa" classic (city of Norilsk) 1/5</t>
  </si>
  <si>
    <t>Kerek Brushwood (city of Norilsk) 1/5</t>
  </si>
  <si>
    <t>Jerky in retail packages</t>
  </si>
  <si>
    <t>Chips meat venison 40 g (Krasnoyarsk) 1/30</t>
  </si>
  <si>
    <t>Jukola venison 35 g (city of Norilsk) 1/30</t>
  </si>
  <si>
    <t>Nyamsa Chips Venison 20 grams (city of Norilsk) 1/30</t>
  </si>
  <si>
    <t>Nyamsa Brushwood venison 35 g (city of Norilsk) 1/30</t>
  </si>
  <si>
    <t>Stew &amp; Pate</t>
  </si>
  <si>
    <t>Beef stew highest grade of 338 g (BURYATMYASPROM) 1/45</t>
  </si>
  <si>
    <t>3 years</t>
  </si>
  <si>
    <t>Beef stew "Khokhloma" key GOST B / C 325 g (ICC Baltic) 1/36</t>
  </si>
  <si>
    <t>Horse meat stew "hunting" with a key B / C 325 g (ICC Baltic) 1/36</t>
  </si>
  <si>
    <t>Horse meat stew highest grade of 338 g (BURYATMYASPROM) 1/45</t>
  </si>
  <si>
    <t>Venison stew 325 g (ICC Baltic) 1/36</t>
  </si>
  <si>
    <t>Venison stew highest grade of 338 g (BURYATMYASPROM) 1/45</t>
  </si>
  <si>
    <t>Goose meat in its own juice 325 g (ICC Baltic) 1/36</t>
  </si>
  <si>
    <t>Wild boar stew "hunting" with the key 325 g (ICC Baltic) 1/36</t>
  </si>
  <si>
    <t>Rabbit stew "hunting" with the key 325 g (ICC Baltic) 1/36</t>
  </si>
  <si>
    <t>Elk stew meat "hunting" with the key 325 g (ICC Baltic) 1/36</t>
  </si>
  <si>
    <t>The meat of turkey fillets "Khokhloma" 325 g tin (ICC Baltic) 1/36</t>
  </si>
  <si>
    <t>Venison Pate 250g (BURYATMYASPROM) 1/30</t>
  </si>
  <si>
    <t>Honey</t>
  </si>
  <si>
    <t>Honey "Sweet Clover" (Republic of Buryatia) 0.5 kg</t>
  </si>
  <si>
    <t>1 year</t>
  </si>
  <si>
    <t>not higher than 20 * C.</t>
  </si>
  <si>
    <t>Honey "Mountain", 230 g, glass (Altai Territory)</t>
  </si>
  <si>
    <t>Honey "Herbs", 230 g, glass (Altai Territory)</t>
  </si>
  <si>
    <t>Honey "Taiga", 230 g, glass (Altai Territory)</t>
  </si>
  <si>
    <t>Fitomёd</t>
  </si>
  <si>
    <t>Fitomёd "Altai", 230 g glass</t>
  </si>
  <si>
    <t>Fitomёd with pollen (pollen), 230 g, glass, pencil case</t>
  </si>
  <si>
    <t>Fitomёd with propolis 230 g, glass, pencil case</t>
  </si>
  <si>
    <t>Fitomёd with pollen, 230 g, glass, pencil case</t>
  </si>
  <si>
    <t>Fitomёd with blueberries, 230 g, glass, pencil case</t>
  </si>
  <si>
    <t>Fitomёd rosehip, 230 g, glass, pencil case</t>
  </si>
  <si>
    <t>A mixture of honey</t>
  </si>
  <si>
    <t>A mixture of honey "Grace" with walnuts and ginger 340 g</t>
  </si>
  <si>
    <t>9 months</t>
  </si>
  <si>
    <t>from 0 to + 18 * C.</t>
  </si>
  <si>
    <t>A mixture of honey "Grace" with walnuts and figs 340 g</t>
  </si>
  <si>
    <t>A mixture of honey "Grace" with hazelnuts and raisins 340 g</t>
  </si>
  <si>
    <t>Balms</t>
  </si>
  <si>
    <t>Balsams series "Healing Altai"</t>
  </si>
  <si>
    <t>Balsam soft "a restorative", 250 ml, glass, pencil case</t>
  </si>
  <si>
    <t>above 25 * C.</t>
  </si>
  <si>
    <t>Balsam soft "For Women's Health", 250 ml, glass, pencil case</t>
  </si>
  <si>
    <t>Balsam soft "for men's health", 250 ml, glass, pencil case</t>
  </si>
  <si>
    <t>Honey balms soft</t>
  </si>
  <si>
    <t>Balsam soft "energotonik", 250 ml, glass, pencil case</t>
  </si>
  <si>
    <t>Balsam soft "Immunotonik", 250 ml, glass, pencil case</t>
  </si>
  <si>
    <t>Balsam soft "Bronhotonik", 250 ml, glass, pencil case</t>
  </si>
  <si>
    <t>Balsam soft "cardiotonic", 250 ml, glass, pencil case</t>
  </si>
  <si>
    <t>Balsams thick concentrated "Honey Elixir"</t>
  </si>
  <si>
    <t>Balsam thick conc. "For Women's Health", 140 g, plastic, foam</t>
  </si>
  <si>
    <t>Balsam thick conc. "For men's health", 140 g, plastic, foam</t>
  </si>
  <si>
    <t>Balsam thick conc. "Cleansing for harmony", 140 g, plastic, foam</t>
  </si>
  <si>
    <t>Balsam thick conc. "Cough", 140 g, plastic, foam</t>
  </si>
  <si>
    <t>Balsam thick conc. "To improve vision", 140 g, plastic pencil case</t>
  </si>
  <si>
    <t>Balsam thick conc. "For the health of the heart and blood vessels", 140 g, plastic, foam</t>
  </si>
  <si>
    <t>Balsam thick conc. "For the health of the liver", 140 g, plastic, foam</t>
  </si>
  <si>
    <t>Jam. Jams. Syrups</t>
  </si>
  <si>
    <t>Jam</t>
  </si>
  <si>
    <t>Dessert "Pinery" - Jam of pine cones, 250 g</t>
  </si>
  <si>
    <t>2 years</t>
  </si>
  <si>
    <t>Dessert of pine cones, 260 g</t>
  </si>
  <si>
    <t>Jam "Grace" ginger 340 g</t>
  </si>
  <si>
    <t>from +2 to + 25 * C</t>
  </si>
  <si>
    <t>Jam "Grace" ginger with cranberries 340g</t>
  </si>
  <si>
    <t>Jam "Grace" ginger cranberry 340 g</t>
  </si>
  <si>
    <t>Jam made from mint, 260 g</t>
  </si>
  <si>
    <t>Jam made of lime, 260 g</t>
  </si>
  <si>
    <t>Jam made of walnut, 260 g</t>
  </si>
  <si>
    <t>Jam made from dandelion, 260 g</t>
  </si>
  <si>
    <t>Jam from apricots, 450 g</t>
  </si>
  <si>
    <t>Jam from strawberries, 450 g</t>
  </si>
  <si>
    <t>Tea, fees herbs</t>
  </si>
  <si>
    <t>Tea</t>
  </si>
  <si>
    <t>Ivan Leaf tea (Cyprus) 30 g</t>
  </si>
  <si>
    <t>pack</t>
  </si>
  <si>
    <t>Tea imunnyj "Mountain Herbs" 100g</t>
  </si>
  <si>
    <t>Tea imunnyj "Taiga" 100 g</t>
  </si>
  <si>
    <t>Tea vitamin "Altai" 100 g</t>
  </si>
  <si>
    <t>Herbs</t>
  </si>
  <si>
    <t>Thyme, Dried herbs, 100 g (Altai Territory)</t>
  </si>
  <si>
    <t>Fruit drinks. Water. Beverages</t>
  </si>
  <si>
    <t>Water</t>
  </si>
  <si>
    <t>"Taiga source" non-gas. 0.33 liters. Natural drinking water (Lake Baikal) 1/15</t>
  </si>
  <si>
    <t>+2 to + 20 * C.</t>
  </si>
  <si>
    <t>"Taiga source" non-gas. 0.6L. Natural drinking water (Lake Baikal) 1/12</t>
  </si>
  <si>
    <t>"Taiga source" non-gas. 1.5 liters. Natural drinking water (Lake Baikal) 1/6</t>
  </si>
  <si>
    <t>"Taiga source" gas. 0.6L. Natural drinking water (Lake Baikal) 1/12</t>
  </si>
  <si>
    <t>12 months</t>
  </si>
  <si>
    <t>"Taiga source" gas. 1.5 liters. Natural drinking water (Lake Baikal) 1/6</t>
  </si>
  <si>
    <t>Sbiten</t>
  </si>
  <si>
    <t>Sbiten "Grace" with ginger 0.25 l</t>
  </si>
  <si>
    <t>from +2 to + 18 * C</t>
  </si>
  <si>
    <t>Sbiten "Grace" with ginger 1 liter</t>
  </si>
  <si>
    <t>Sbiten "Grace" with mint 0,25</t>
  </si>
  <si>
    <t>Sbiten "Grace" with mint 1 liter</t>
  </si>
  <si>
    <t>Fruit drinks</t>
  </si>
  <si>
    <t>Berry Cranberry fruit drinks (st.but. 0,5) 1/12</t>
  </si>
  <si>
    <t>Buckthorn berry fruit drinks (st.but. 0,5) 1/12</t>
  </si>
  <si>
    <t>Berry Nectar</t>
  </si>
  <si>
    <t>Berry Cranberry bionektar (st.but. 0,5) 1/12</t>
  </si>
  <si>
    <t>Berry bionektar crowberry (st.but. 0,5) 1/12</t>
  </si>
  <si>
    <t>Berry Blueberry bionektar (st.but. 0,5) 1/12</t>
  </si>
  <si>
    <t>Red currant berry bionektar (st.but. 0,5) 1/12</t>
  </si>
  <si>
    <t>Bionektar Berry cloudberry (st.but. 0,5) 1/12</t>
  </si>
  <si>
    <t>Seabuckthorn Berry bionektar (st.but. 0,5) 1/12</t>
  </si>
  <si>
    <t>Chewing gum Siberian larch</t>
  </si>
  <si>
    <t>Sera Baikal classic 1/20</t>
  </si>
  <si>
    <t>+15 to + 21 * C</t>
  </si>
  <si>
    <t>Sulfur smoked Baikal 1/20</t>
  </si>
  <si>
    <t>Sera Baikal steam 1/20</t>
  </si>
  <si>
    <t>Packing</t>
  </si>
  <si>
    <t>Thermocontainer FB-015 (420h310h161) with lid</t>
  </si>
  <si>
    <t>Thermocontainer FB-025 (610h350h164) with lid</t>
  </si>
  <si>
    <t>Thermocontainer FB-050 (800h400h231) with lid</t>
  </si>
  <si>
    <t>Сereals</t>
  </si>
  <si>
    <t>Price euro</t>
  </si>
  <si>
    <t xml:space="preserve">          Confectioner products</t>
  </si>
  <si>
    <t>Cakes "MESSARO"</t>
  </si>
  <si>
    <t xml:space="preserve">            Cake "MESSARO" 540g. 1x8 Night Venice (Italy)</t>
  </si>
  <si>
    <t xml:space="preserve">            Cake "MESSARO" 540g. 1x8 Coconut (Italy)</t>
  </si>
  <si>
    <t xml:space="preserve">            Cake "MESSARO" 540g. 1x8 Lemon (Italy)</t>
  </si>
  <si>
    <t xml:space="preserve">            Cake "MESSARO" 540g. 1x8 Tiramisu (Italy)</t>
  </si>
  <si>
    <t xml:space="preserve">             Orion (Choco Pie)</t>
  </si>
  <si>
    <t xml:space="preserve">                Guate 80g. 1x32</t>
  </si>
  <si>
    <t xml:space="preserve">                Marine Boy 34g.1h30 Smetana / Cheese</t>
  </si>
  <si>
    <t xml:space="preserve">                Chocobo 100g.1h15 (96)</t>
  </si>
  <si>
    <t xml:space="preserve">                Chocobo 42g.1h30 Safari</t>
  </si>
  <si>
    <t xml:space="preserve">                Chocobo 45g.1h30 (80)</t>
  </si>
  <si>
    <t xml:space="preserve">                Chokopay №12 1x8 (large) 360 g (54)</t>
  </si>
  <si>
    <t xml:space="preserve">                Chokopay №4 1x20 (small), 120 g (60)</t>
  </si>
  <si>
    <t xml:space="preserve">                Chokopay №6 1h16 (average) 180 g (49)</t>
  </si>
  <si>
    <t xml:space="preserve">             Donuts "Donut Today screen"</t>
  </si>
  <si>
    <t xml:space="preserve">                Donuts Donut 50g Today screen. 1h6h24 Cherry / Chocolate</t>
  </si>
  <si>
    <t xml:space="preserve">                Donuts Donut 50g Today screen. 1h6h24 Chocolate</t>
  </si>
  <si>
    <t xml:space="preserve">                Cake Bar "Severn Deiss" 30g. 1h16sht Cocoa</t>
  </si>
  <si>
    <t xml:space="preserve">                Cake Bar "Severn Deiss" 35g. 1h16sht Vanilla</t>
  </si>
  <si>
    <t xml:space="preserve">                Cake Bar "Severn Deiss" 5shth30g. 1x10 Cocoa</t>
  </si>
  <si>
    <t xml:space="preserve">                Cake Bar "Severn Deiss" 5shth30g. 1x10 Strawberry</t>
  </si>
  <si>
    <t xml:space="preserve">                Cake Bar "Severn Deiss" 5shth35g. Vanilla 1x10</t>
  </si>
  <si>
    <t xml:space="preserve">                Croissants "Seven Deiss" 200 g Vanilla 1x12</t>
  </si>
  <si>
    <t xml:space="preserve">                Croissants "Seven Deiss" 200 g 1x12 DOUBLE Cherry-Vanilla</t>
  </si>
  <si>
    <t xml:space="preserve">                Croissants "Seven Deiss" 200 g 1x12 DOUBLE Cocoa-Vanilla</t>
  </si>
  <si>
    <t xml:space="preserve">                Croissants "Seven Deiss" 1x12 200 g Cocoa</t>
  </si>
  <si>
    <t xml:space="preserve">                Croissants "Seven Deiss" 1x12 200 g Caramel</t>
  </si>
  <si>
    <t xml:space="preserve">                Croissants "Seven Deiss" 200g Strawberry 1x12</t>
  </si>
  <si>
    <t xml:space="preserve">                Croissants "Seven Deiss" 1x12 200 g of condensed milk</t>
  </si>
  <si>
    <t xml:space="preserve">                Croissants "Seven Deiss" 200 g 1x12 Cherry</t>
  </si>
  <si>
    <t xml:space="preserve">                Croissants "Seven Deiss' '65 1h21 Vanilla</t>
  </si>
  <si>
    <t xml:space="preserve">                Croissants "Seven Deiss' '65 1h21 Cocoa</t>
  </si>
  <si>
    <t xml:space="preserve">                Croissants "Seven Deiss' '65 1h21 Strawberry</t>
  </si>
  <si>
    <t xml:space="preserve">                Croissants "Seven Deiss' '65 1h21 with condensed milk</t>
  </si>
  <si>
    <t xml:space="preserve">                Croissants "Seven Deiss' '65 1h21DUBL Cherry-Vanilla</t>
  </si>
  <si>
    <t xml:space="preserve">                Croissants "Seven Deiss' '65 1h21DUBL Cocoa-Vanilla</t>
  </si>
  <si>
    <t xml:space="preserve">                Croissants "Seven Deiss" MIDI (3 + 1) '65 1h7 Vanilla NEW</t>
  </si>
  <si>
    <t xml:space="preserve">                Croissants "Seven Deiss" MIDI (3 + 1) '65 1h7 Cocoa NEW</t>
  </si>
  <si>
    <t xml:space="preserve">                Croissants "Seven Deiss" MIDI (3 + 1) '65 1h7 Strawberry NEW</t>
  </si>
  <si>
    <t xml:space="preserve">                Croissants "Seven Deiss" MIDI (3 + 1) '65 1h7 condensed milk NEW</t>
  </si>
  <si>
    <t xml:space="preserve">                Croissants "Seven Deiss" MIDI '65 1x20 Vanilla</t>
  </si>
  <si>
    <t xml:space="preserve">                Croissants "Seven Deiss" MIDI '65 1x20 Cocoa</t>
  </si>
  <si>
    <t xml:space="preserve">                Croissants "Seven Deiss" MIDI '65 1x20 Strawberry</t>
  </si>
  <si>
    <t xml:space="preserve">                Croissants "Seven Deiss" MIDI '65 1x20 condensed milk</t>
  </si>
  <si>
    <t xml:space="preserve">                Rolls "Seven Deiss" 1h15 200 g Boiled condensed milk</t>
  </si>
  <si>
    <t xml:space="preserve">                Rolls "Seven Deiss" 200g Cherry 1h15</t>
  </si>
  <si>
    <t xml:space="preserve">                Rolls "Seven Deiss" 200 g Cocoa 1h15</t>
  </si>
  <si>
    <t xml:space="preserve">                Rolls "Seven Deiss" 200 g Cappuccino 1h15</t>
  </si>
  <si>
    <t xml:space="preserve">                Rolls "Seven Deiss" 200g Strawberry 1h15</t>
  </si>
  <si>
    <t xml:space="preserve">                Rolls "Seven Deiss" 200 g 1h15 Forest Fruit</t>
  </si>
  <si>
    <t xml:space="preserve">                Crackers "Seven Deiss' '80 1x12 BBQ</t>
  </si>
  <si>
    <t xml:space="preserve">                Crackers "Seven Deiss' '80 1x12 Pizza</t>
  </si>
  <si>
    <t xml:space="preserve">                Crackers "Seven Deiss" 1x12 '80 Garlic-Cheese</t>
  </si>
  <si>
    <t xml:space="preserve">                Fineti "Seven Deiss" Pasta 200 g 1h12h6 (green)</t>
  </si>
  <si>
    <t xml:space="preserve">                Fineti "Seven Deiss" 200 g 1h12h6 Tubes (purple)</t>
  </si>
  <si>
    <t xml:space="preserve">                Strudel "Seven Deiss" 1x12 200 g Cocoa</t>
  </si>
  <si>
    <t xml:space="preserve">                Strudel "Seven Deiss" 200 g 1x12 Forest Fruit</t>
  </si>
  <si>
    <t xml:space="preserve">                Strudel "Seven Deiss" 200 g 1x12 Apple</t>
  </si>
  <si>
    <t xml:space="preserve">            Kolomenskoye</t>
  </si>
  <si>
    <t xml:space="preserve">                Waffles Kolomenskaya 220 Walnut g.1h20</t>
  </si>
  <si>
    <t xml:space="preserve">                Wafers 220 g.1h20 Kolomna Capriccio with chocolate</t>
  </si>
  <si>
    <t xml:space="preserve">                Waffles Kolomenskaya 220 g.1h20 coffee with cream</t>
  </si>
  <si>
    <t xml:space="preserve">                Waffles Kolomenskaya 220 g.1h20 with yogurt</t>
  </si>
  <si>
    <t xml:space="preserve">                Waffles Kolomenskaya 220 g.1h20 with halva</t>
  </si>
  <si>
    <t xml:space="preserve">                Waffles Kolomenskaya 220 g.1h20 Creamy</t>
  </si>
  <si>
    <t xml:space="preserve">                Waffles Kolomenskaya 220 g.1h20 Baked Milk</t>
  </si>
  <si>
    <t xml:space="preserve">                Waffles Kolomna 220 g.1h20 Boiled condensed milk</t>
  </si>
  <si>
    <t xml:space="preserve">                Waffles Kolomna 220 g.1h20 Chocolate</t>
  </si>
  <si>
    <t xml:space="preserve">                Chocolate cake with halva 180g.1h20</t>
  </si>
  <si>
    <t xml:space="preserve">                Chocolate cake 240g.1h20 small</t>
  </si>
  <si>
    <t xml:space="preserve">                Chocolate cake 270g.1h20 small</t>
  </si>
  <si>
    <t xml:space="preserve">                Chocolate Almond Cake 270g.1h20</t>
  </si>
  <si>
    <t xml:space="preserve">                Chocolate Hazelnut Cake 270g.1h20</t>
  </si>
  <si>
    <t xml:space="preserve">                Chocolate cake large 430g.1h15</t>
  </si>
  <si>
    <t xml:space="preserve">            Conti</t>
  </si>
  <si>
    <t xml:space="preserve">                Bonjour Cherry 232g. 1h9</t>
  </si>
  <si>
    <t xml:space="preserve">                Bonjour Vanilla 232g. 1h9</t>
  </si>
  <si>
    <t xml:space="preserve">                Bonjour Classic 232g. 1h9</t>
  </si>
  <si>
    <t xml:space="preserve">                Bonjour strawberries and cream 232g. 1h9</t>
  </si>
  <si>
    <t xml:space="preserve">                Bonjour Lime 232g. 1h9</t>
  </si>
  <si>
    <t xml:space="preserve">                Bonjour Liquor 232g. 1h9</t>
  </si>
  <si>
    <t xml:space="preserve">                Bonjour Mini Coconut 200g. 1h9</t>
  </si>
  <si>
    <t xml:space="preserve">                Bonjour Mini Original 200g. 1h9</t>
  </si>
  <si>
    <t xml:space="preserve">                Bonjour Mini Cream 200g. 1h9</t>
  </si>
  <si>
    <t xml:space="preserve">                Bonjour Nut 232g. 1h9</t>
  </si>
  <si>
    <t xml:space="preserve">            Maharishi</t>
  </si>
  <si>
    <t xml:space="preserve">                Sticks with sesame 200 g 1h16 (Bread)</t>
  </si>
  <si>
    <t xml:space="preserve">                Sticks with Cheese 135g. 1h18 (Bread)</t>
  </si>
  <si>
    <t xml:space="preserve">                Puff with glaze 150g 1h14</t>
  </si>
  <si>
    <t xml:space="preserve">                Puff with glaze 200g. 1h14</t>
  </si>
  <si>
    <t xml:space="preserve">                Puff with apricot jam 180 g 1x12</t>
  </si>
  <si>
    <t xml:space="preserve">                Puff with cherry jam 180 g 1x12</t>
  </si>
  <si>
    <t xml:space="preserve">                Puff with jam strawberry 180 g 1x12</t>
  </si>
  <si>
    <t xml:space="preserve">                Tortini 200g.1h16 Apricot</t>
  </si>
  <si>
    <t xml:space="preserve">                Tortini 200g.1h16 Cherry</t>
  </si>
  <si>
    <t xml:space="preserve">                Tortini 200g.1h16 Strawberry</t>
  </si>
  <si>
    <t xml:space="preserve">                Tortini 200g.1h16 Forest Fruit</t>
  </si>
  <si>
    <t xml:space="preserve">                Tortini 200g.1h16 Lemon</t>
  </si>
  <si>
    <t xml:space="preserve">                Tortini 500g.1h7 Apricot</t>
  </si>
  <si>
    <t xml:space="preserve">                Tortini 500g.1h7 Cherry</t>
  </si>
  <si>
    <t xml:space="preserve">                Tortini 500g.1h7 Strawberry</t>
  </si>
  <si>
    <t xml:space="preserve">                Tortini 500g.1h7 Forest Fruit</t>
  </si>
  <si>
    <t xml:space="preserve">                Tortini 500g.1h7 Lemon</t>
  </si>
  <si>
    <t xml:space="preserve">            Flight</t>
  </si>
  <si>
    <t xml:space="preserve">                Cookies Snow 250g.1h12</t>
  </si>
  <si>
    <t xml:space="preserve">                Flying Biscuit Almond 280g.1h10sht</t>
  </si>
  <si>
    <t xml:space="preserve">                Flying Biscuit Oatmeal 400g.1h20sht</t>
  </si>
  <si>
    <t xml:space="preserve">                Flying Biscuit 400g.1h20sht Oatmeal with raisins</t>
  </si>
  <si>
    <t xml:space="preserve">                Flying Biscuit Oatmeal cereal Five 300g.1h11</t>
  </si>
  <si>
    <t xml:space="preserve">                Oatmeal Cookies Flight Five 600g cereals.</t>
  </si>
  <si>
    <t xml:space="preserve">                Flying Biscuit Layered dessert Sugar 150g. 1h12sht</t>
  </si>
  <si>
    <t xml:space="preserve">                Flying Biscuit Layered dessert cheese 150g. 1h14sht</t>
  </si>
  <si>
    <t xml:space="preserve">                Flying Biscuit Layered dessert with raisins 220g. 1h15sht</t>
  </si>
  <si>
    <t xml:space="preserve">                Flying Biscuit Layered dessert with sugar 200g. 1h12sht</t>
  </si>
  <si>
    <t xml:space="preserve">                Flying Biscuit Layered dessert with cereals 300g. 1h10sht</t>
  </si>
  <si>
    <t xml:space="preserve">                Flying Biscuit Layered dessert Apple / Cinnamon 200g. 1h14sht</t>
  </si>
  <si>
    <t xml:space="preserve">                Butter Cookies Arletka White Shock 400g.1h12 pc</t>
  </si>
  <si>
    <t xml:space="preserve">                Butter Cookies Arletka Shok.400g.1h12 pieces.</t>
  </si>
  <si>
    <t xml:space="preserve">                Gingerbread Flying 1h12sht 400g.Myatnye</t>
  </si>
  <si>
    <t xml:space="preserve">                Gingerbread Flying 1h15sht 300g.Imbirnye</t>
  </si>
  <si>
    <t xml:space="preserve">                Gingerbread Flying 300g.1h15 Custard</t>
  </si>
  <si>
    <t xml:space="preserve">            Ramenskii</t>
  </si>
  <si>
    <t xml:space="preserve">                Mini cupcake "Kovis" 470g.1h6sht Apricot</t>
  </si>
  <si>
    <t xml:space="preserve">                Mini cupcake "Kovis" 470g.1h6sht Boiled SGU.</t>
  </si>
  <si>
    <t xml:space="preserve">                Mini cupcake "Kovis" 470g.1h6sht Cherry</t>
  </si>
  <si>
    <t xml:space="preserve">                Mini cupcake "Kovis" 470g.1h6sht Strawberry</t>
  </si>
  <si>
    <t xml:space="preserve">                Mini cupcake "Fairy" 200 g Apricot 1x12</t>
  </si>
  <si>
    <t xml:space="preserve">                Mini cupcake "Fairy" 200 g 1x12 Boiled condensed milk</t>
  </si>
  <si>
    <t xml:space="preserve">                Mini cupcake "Fairy" 200 g 1x12 Cherry</t>
  </si>
  <si>
    <t xml:space="preserve">                Mini cupcake "Fairy" 200 g Caramel 1x12</t>
  </si>
  <si>
    <t xml:space="preserve">                Mini cupcake "Fairy" 200 g Strawberry 1x12</t>
  </si>
  <si>
    <t>Mini cupcake "Fairy" 200 g 1x12 Blueberries</t>
  </si>
  <si>
    <t xml:space="preserve">                Mini Master rolls Dessert "Malets heart of oak" 35gh4h24sht Cherry</t>
  </si>
  <si>
    <t xml:space="preserve">                Mini Master rolls Dessert Apricot 175g.1h15sht</t>
  </si>
  <si>
    <t xml:space="preserve">                Mini rolls Dessert Master 175g.1h15sht Boiled thickened. cocoa</t>
  </si>
  <si>
    <t xml:space="preserve">                Mini rolls Dessert Master 175g.1h15sht Boiled condensed milk</t>
  </si>
  <si>
    <t xml:space="preserve">                Mini rolls Master Cherry Dessert 175g.1h15sht</t>
  </si>
  <si>
    <t xml:space="preserve">                Mini rolls Master Caramel Dessert 175g.1h15sht</t>
  </si>
  <si>
    <t xml:space="preserve">                Mini rolls Master Strawberry Dessert 175g.1h15sht</t>
  </si>
  <si>
    <t xml:space="preserve">                Mini rolls Dessert Master 175g.1h15sht Forest berry</t>
  </si>
  <si>
    <t xml:space="preserve">                Mini rolls Master Raspberry Dessert 175g.1h15sht</t>
  </si>
  <si>
    <t xml:space="preserve">                Mini rolls 175g.1h15sht Master Dessert Chocolate-walnut</t>
  </si>
  <si>
    <t xml:space="preserve">                Cake Dessert Master 1x10 430g. Apricot</t>
  </si>
  <si>
    <t xml:space="preserve">                Cake Dessert Master 1x10 430g.Vishnya</t>
  </si>
  <si>
    <t xml:space="preserve">                Cake Dessert Master 1x10 430g.Zemlyanika</t>
  </si>
  <si>
    <t xml:space="preserve">                Cake Dessert Master 1x10 430g.Limon</t>
  </si>
  <si>
    <t xml:space="preserve">                Cake Dessert Master 1x10 430g.Chernika</t>
  </si>
  <si>
    <t xml:space="preserve">                Roll Kovis 250g.1h12 Apricot</t>
  </si>
  <si>
    <t xml:space="preserve">                Roll Kovis 250g.1h12 Boiled thickened.</t>
  </si>
  <si>
    <t xml:space="preserve">                Roll Kovis 250g.1h12 Strawberry</t>
  </si>
  <si>
    <t xml:space="preserve">                Roll Kovis 250g.1h12 Forest berry</t>
  </si>
  <si>
    <t xml:space="preserve">                Roll Kovis 250g.1h12 Blueberries</t>
  </si>
  <si>
    <t xml:space="preserve">                Chocolate roulade Kovis 250g.1h12</t>
  </si>
  <si>
    <t xml:space="preserve">                Roll Kovis De Luxe 200g.1h15 Var. condensed milk</t>
  </si>
  <si>
    <t xml:space="preserve">                Roll Kovis De Luxe 200g.1h15 Caramel / cream</t>
  </si>
  <si>
    <t xml:space="preserve">                Roll Kovis De Luxe 200g.1h15 Strawberry</t>
  </si>
  <si>
    <t xml:space="preserve">                Roll Kovis 200g.1h15 De Luxe Cream / Brühl</t>
  </si>
  <si>
    <t xml:space="preserve">                Roll Kovis De Luxe 200g.1h15 Chocolate / Walnut</t>
  </si>
  <si>
    <t xml:space="preserve">                Roll Fairy 200g.1h15 Boiled condensed milk</t>
  </si>
  <si>
    <t xml:space="preserve">                Roll Fairy Strawberry 200g.1h15</t>
  </si>
  <si>
    <t xml:space="preserve">                Roll Fairy 200g.1h15 Forest Fruit</t>
  </si>
  <si>
    <t xml:space="preserve">                Roll Fairy 200g.1h15 Tiramisu and Chocolate Cream</t>
  </si>
  <si>
    <t xml:space="preserve">                Roll Fairy 200g.1h15 Truffle</t>
  </si>
  <si>
    <t xml:space="preserve">                Roll Fairy 200g.1h15 Black Currant</t>
  </si>
  <si>
    <t xml:space="preserve">                Tartlets 180g. 1x12 Dessert</t>
  </si>
  <si>
    <t xml:space="preserve">                Tartlets 180g. 1x12 Original</t>
  </si>
  <si>
    <t xml:space="preserve">            Ramenskoye (Beeker House)</t>
  </si>
  <si>
    <t xml:space="preserve">                Dessert biscuit Beeker House 500g.h6sht Thermis</t>
  </si>
  <si>
    <t xml:space="preserve">                Mini-cakes "Beeker House" 240g.1h10sht Truffle</t>
  </si>
  <si>
    <t xml:space="preserve">                Pie "Catalan" 400g. BONUS - Cream / Strawberry</t>
  </si>
  <si>
    <t xml:space="preserve">                Pie "Catalan" 400g.h6sht Vanilla</t>
  </si>
  <si>
    <t xml:space="preserve">                Pie "Catalan" 400g.h6sht Coconut</t>
  </si>
  <si>
    <t xml:space="preserve">                Pie "Catalan" 400g.h6sht Raspberry</t>
  </si>
  <si>
    <t xml:space="preserve">                Pie "Catalan" 400g.h6sht Cream / Strawberry</t>
  </si>
  <si>
    <t xml:space="preserve">                Pie "Catalan" 400g.h6sht Blueberries</t>
  </si>
  <si>
    <t xml:space="preserve">                Pie "Catalan" 400g.h6sht Chocolate / Caramel</t>
  </si>
  <si>
    <t xml:space="preserve">                Pie "Catalan" 400g.h6sht Chocolate / Cream</t>
  </si>
  <si>
    <t xml:space="preserve">                Sponge Cake House Beeker 400g. 1x6 Yogurt / Prune</t>
  </si>
  <si>
    <t xml:space="preserve">                Sponge Cake House Beeker 550g. 1x6 Orange</t>
  </si>
  <si>
    <t xml:space="preserve">                Biscuit cakes Beeker House 350g. 1x8 Sicily</t>
  </si>
  <si>
    <t xml:space="preserve">                Biscuit cakes Beeker House 350g. 1x8 Tiramisu</t>
  </si>
  <si>
    <t xml:space="preserve">                Biscuit cakes Beeker House 350g. 1x8 Truffle</t>
  </si>
  <si>
    <t xml:space="preserve">                Biscuit cakes Beeker House 350g. 1x8 Black Forest</t>
  </si>
  <si>
    <t xml:space="preserve">                Italian Bread, 250g Beeker House. 1h7 Bran and Black Sesame</t>
  </si>
  <si>
    <t xml:space="preserve">                Italian Bread, 250g Beeker House. 1h7 Rosemary and Garlic</t>
  </si>
  <si>
    <t xml:space="preserve">                Italian Bread, 250g Beeker House. 1h7 Sunflower Seeds</t>
  </si>
  <si>
    <t xml:space="preserve">                Italian Bread, 250g Beeker House. 1h7 Pumpkin Seeds</t>
  </si>
  <si>
    <t xml:space="preserve">            Ramenskoye (Home)</t>
  </si>
  <si>
    <t xml:space="preserve">                Mini rolls Home 150g.1h20sht Apricot</t>
  </si>
  <si>
    <t xml:space="preserve">                Mini rolls Home 150g.1h20sht Var. condensed milk</t>
  </si>
  <si>
    <t xml:space="preserve">                Mini rolls Homemade Strawberry 150g.1h20sht</t>
  </si>
  <si>
    <t xml:space="preserve">                Mini rolls Home 150g.1h20sht Forest berry</t>
  </si>
  <si>
    <t xml:space="preserve">                Roll Home 150g.1h15sht Apricot</t>
  </si>
  <si>
    <t xml:space="preserve">                Roll Home 150g.1h15sht Var. condensed milk</t>
  </si>
  <si>
    <t xml:space="preserve">                Roll Homemade Strawberry 150g.1h15sht</t>
  </si>
  <si>
    <t xml:space="preserve">                Roll Home 150g.1h15sht Forest berry</t>
  </si>
  <si>
    <t xml:space="preserve">            Sugar</t>
  </si>
  <si>
    <t xml:space="preserve">                Sugar 900g.1h20sht</t>
  </si>
  <si>
    <t xml:space="preserve">                Sugar, refined 0.5kg.1h40sht</t>
  </si>
  <si>
    <t xml:space="preserve">                Sugar, refined 1kg.h20sht</t>
  </si>
  <si>
    <t xml:space="preserve">                Sugar prikusku 400g. Pressed 1h30sht</t>
  </si>
  <si>
    <t xml:space="preserve">                Sugar prikusku 800g. Pressed 1h15sht</t>
  </si>
  <si>
    <t xml:space="preserve">            Slav</t>
  </si>
  <si>
    <t xml:space="preserve">                Walnut cake 38g.1h40 Boyarushka</t>
  </si>
  <si>
    <t xml:space="preserve">                Ordinary Miracle 55g.1h30 Creamy</t>
  </si>
  <si>
    <t xml:space="preserve">                Miracle Just 40g.1h30 Classic</t>
  </si>
  <si>
    <t xml:space="preserve">                Miracle Slavic 55g.1h30 Chocolate</t>
  </si>
  <si>
    <t xml:space="preserve">            Drying St. Petersburg</t>
  </si>
  <si>
    <t xml:space="preserve">                Drying Scarce 200g. 1h30 Lean</t>
  </si>
  <si>
    <t xml:space="preserve">                Drying Scarce 250g. 1h30 Chocolate</t>
  </si>
  <si>
    <t xml:space="preserve">                Drying Scarce 300g. 1h30 Simple</t>
  </si>
  <si>
    <t xml:space="preserve">                Drying Scarce 300g. 1h30 with poppy seeds</t>
  </si>
  <si>
    <t xml:space="preserve">                Drying Baby 300g. 1h30 Simple</t>
  </si>
  <si>
    <t xml:space="preserve">                Drying Baby 300g. 1h30 with poppy seeds</t>
  </si>
  <si>
    <t xml:space="preserve">                Drying Chelnochok 250g. 1h24 Vanilla</t>
  </si>
  <si>
    <t xml:space="preserve">                Drying Chelnochok 250g. 1h24 Walnut</t>
  </si>
  <si>
    <t xml:space="preserve">                Drying Chelnochok 250g. 1h24 Simple</t>
  </si>
  <si>
    <t xml:space="preserve">                Drying Chelnochok 250g. 1h24 with poppy seeds</t>
  </si>
  <si>
    <t xml:space="preserve">            Udarnitsa</t>
  </si>
  <si>
    <t xml:space="preserve">                Bumba Jungle 105g.1h30 Marmalade</t>
  </si>
  <si>
    <t xml:space="preserve">                Marmalade Udarnitsa 250g.1h12 orange slices</t>
  </si>
  <si>
    <t xml:space="preserve">                Marmalade Udarnitsa 250g.1h12 Lemon Slices</t>
  </si>
  <si>
    <t xml:space="preserve">                Marmalade Udarnitsa 250g.1h18 Strawberry nectar</t>
  </si>
  <si>
    <t xml:space="preserve">                Marmalade Udarnitsa 250g.1h18 Fruit cocktail</t>
  </si>
  <si>
    <t xml:space="preserve">                Marmalade Udarnitsa 325 1x12 Cherry</t>
  </si>
  <si>
    <t xml:space="preserve">                Marmalade Udarnitsa 325 1x12 Melon</t>
  </si>
  <si>
    <t xml:space="preserve">                Marmalade Udarnitsa 325 1x12 Raspberry</t>
  </si>
  <si>
    <t xml:space="preserve">                Marmalade Udarnitsa 325 1x12 Presik</t>
  </si>
  <si>
    <t xml:space="preserve">                Marmalade Udarnitsa 325 1x12 Chern.Smorodina</t>
  </si>
  <si>
    <t xml:space="preserve">                Marmalade Udarnitsa 325 1x12 Apple</t>
  </si>
  <si>
    <t xml:space="preserve">                Sharm 150g.1h14 Marmalade Chocolate</t>
  </si>
  <si>
    <t xml:space="preserve">                Sharmel 120g.1h16 Small</t>
  </si>
  <si>
    <t xml:space="preserve">                Sharmel 221g.1h14 Vanilla Marshmallow</t>
  </si>
  <si>
    <t xml:space="preserve">                Sharmel 221g.1h14 Strawberry Marshmallow</t>
  </si>
  <si>
    <t xml:space="preserve">                Sharmel 221g.1h14 Cranberry Pastilles</t>
  </si>
  <si>
    <t xml:space="preserve">                Sharmel 250g.1h16 Classic !!!!!!!! New Packaging</t>
  </si>
  <si>
    <t xml:space="preserve">                Sharmel 250g.1h8 Classic</t>
  </si>
  <si>
    <t xml:space="preserve">                Sharmel 250g.1h8 Sundae</t>
  </si>
  <si>
    <t xml:space="preserve">                Sharmel 255g.1h12 Vanilla Marshmallow</t>
  </si>
  <si>
    <t xml:space="preserve">                Sharmel 255g.1h12 Zephyr Apple</t>
  </si>
  <si>
    <t xml:space="preserve">            Ferretti</t>
  </si>
  <si>
    <t xml:space="preserve">                Ferretti 130 gr. 1h15 Vanilla</t>
  </si>
  <si>
    <t xml:space="preserve">                Ferretti 130 gr. 1h15 Caramel</t>
  </si>
  <si>
    <t xml:space="preserve">                Ferretti 130 gr. 1h15 Strawberry</t>
  </si>
  <si>
    <t xml:space="preserve">                Ferretti 130 gr. 1h15 Blueberries</t>
  </si>
  <si>
    <t xml:space="preserve">                Ferretti 130 gr. 1h15 Chocolate</t>
  </si>
  <si>
    <t xml:space="preserve">                Ferretti 400 gr. 1x6 Vanilla</t>
  </si>
  <si>
    <t xml:space="preserve">                Ferretti 400 gr. 1x6 Cherry</t>
  </si>
  <si>
    <t xml:space="preserve">                Ferretti 400 gr. 1x6 Caramel</t>
  </si>
  <si>
    <t xml:space="preserve">                Ferretti 400 gr. 1x6 Strawberry cream</t>
  </si>
  <si>
    <t xml:space="preserve">                Ferretti 400 gr. 1x6 Raspberry</t>
  </si>
  <si>
    <t xml:space="preserve">                Ferretti 400 gr. 1x6 Truffle</t>
  </si>
  <si>
    <t xml:space="preserve">                Ferretti 400 gr. 1x6 Blueberries</t>
  </si>
  <si>
    <t>Ferretti 400 gr. 1x6 Chocolate-cream</t>
  </si>
  <si>
    <t xml:space="preserve">            Cheryomushki</t>
  </si>
  <si>
    <t xml:space="preserve">                Caramel cake 400 g 1x12 (JSC "Cheryomushki")</t>
  </si>
  <si>
    <t xml:space="preserve">                Caramel cake 660g. 1x12 (JSC "Cheryomushki")</t>
  </si>
  <si>
    <t xml:space="preserve">                Honey cake cake 380- of 1x12 (JSC "Cheryomushki")</t>
  </si>
  <si>
    <t xml:space="preserve">                Honey cake cake 630- of 1x12 (JSC "Cheryomushki")</t>
  </si>
  <si>
    <t xml:space="preserve">                Napoleon puff 640g.1h12 Cheryomushki</t>
  </si>
  <si>
    <t xml:space="preserve">                Persian Night cake 400 g 1x12 (JSC "Cheryomushki")</t>
  </si>
  <si>
    <t xml:space="preserve">                Persian Night cake 660g. 1x12 (JSC "Cheryomushki")</t>
  </si>
  <si>
    <t xml:space="preserve">                Italian Pie Cherry Pie 400g.1h12</t>
  </si>
  <si>
    <t xml:space="preserve">                Italian Pie Lemon Pie 400g.1h12</t>
  </si>
  <si>
    <t xml:space="preserve">                Italian Pie Blueberry Pie 400g.1h12</t>
  </si>
  <si>
    <t xml:space="preserve">                Pie Pie Prague 1x8 400g strawberries (of "Cheryomushki)</t>
  </si>
  <si>
    <t xml:space="preserve">                Pie Pie Prague 1x8 400g caramel (JSC "Cheryomushki)</t>
  </si>
  <si>
    <t xml:space="preserve">                Pie Pie Prague 1x8 400g chocolate nut (JSC "Cheryomushki)</t>
  </si>
  <si>
    <t xml:space="preserve">                Pie Baking 1x12 400g. Cherry</t>
  </si>
  <si>
    <t xml:space="preserve">                Pie Baking 1x12 400g. Blueberry</t>
  </si>
  <si>
    <t xml:space="preserve">                Pie Baking Whorl 1x12 420g. Drain. mousse / chocolate</t>
  </si>
  <si>
    <t xml:space="preserve">                Pie Baking Whorl 1x12 420g. Chocolate / Walnut</t>
  </si>
  <si>
    <t xml:space="preserve">                Pie Baking Yogurt Shake 400g. 1x12 Cherry</t>
  </si>
  <si>
    <t xml:space="preserve">                Pie Baking Yogurt Shake 400g. 1x12 Blueberries</t>
  </si>
  <si>
    <t xml:space="preserve">                Cake Truffle Pie 380g 1x8. (JSC "Cheryomushki)</t>
  </si>
  <si>
    <t xml:space="preserve">                Roll Baking 400g.1h12 Apricots</t>
  </si>
  <si>
    <t xml:space="preserve">                Roll Baking 400g.1h12 Lemon</t>
  </si>
  <si>
    <t xml:space="preserve">                Roll Baking 400g.1h12 Mac</t>
  </si>
  <si>
    <t xml:space="preserve">                Roll Chocolate Muffin 400g.1h12</t>
  </si>
  <si>
    <t xml:space="preserve">                Cheesecake 400g.1h12 (Cheryomushki)</t>
  </si>
  <si>
    <t xml:space="preserve">                Cheesecake 630g.1h12 (Cheryomushki)</t>
  </si>
  <si>
    <t xml:space="preserve">                Tiramisu cake 430g.1h12 (JSC "Cheryomushki")</t>
  </si>
  <si>
    <t xml:space="preserve">                Tiramisu cake 700g.1h12 (JSC "Cheryomushki")</t>
  </si>
  <si>
    <t xml:space="preserve">                Enchantress cake 650g.1h12 (JSC "Cheryomushki")</t>
  </si>
  <si>
    <t xml:space="preserve">            Fair Sweets</t>
  </si>
  <si>
    <t xml:space="preserve">                Bagels baker 500g.1h12 Volzhsky</t>
  </si>
  <si>
    <t xml:space="preserve">                Wafers Artek 220 1h40 Chocolate</t>
  </si>
  <si>
    <t xml:space="preserve">                Viennese Wafers 100g 1h36 Assroti</t>
  </si>
  <si>
    <t xml:space="preserve">                Viennese Wafers 150 g 1h27 Assroti</t>
  </si>
  <si>
    <t xml:space="preserve">                Cookies kurabye m ​​/ s from 400g 1x10 Tver New Packaging</t>
  </si>
  <si>
    <t xml:space="preserve">                Cookies kurabye t / y 380 1x12 Tver Old Packaging</t>
  </si>
  <si>
    <t xml:space="preserve">                Biscotti Biscuits 150g. 1x20 walnuts and raisins</t>
  </si>
  <si>
    <t xml:space="preserve">                Biscotti Biscuits 150g. 1x20 Almonds and Raisins</t>
  </si>
  <si>
    <t xml:space="preserve">                Biscotti Biscuits 150g. 1x20 Fruits</t>
  </si>
  <si>
    <t xml:space="preserve">                Star Crackers 350g. 1h15 Vanilla</t>
  </si>
  <si>
    <t xml:space="preserve">                Star Crackers 350g. 1h15 Zest</t>
  </si>
  <si>
    <t xml:space="preserve">                Star Crackers 350g. 1h15 with poppy seeds</t>
  </si>
  <si>
    <t xml:space="preserve">                Drying Neva baby poppy 275 g 1h26</t>
  </si>
  <si>
    <t xml:space="preserve">                Tula gingerbread 1h48 Gourmand</t>
  </si>
  <si>
    <t xml:space="preserve">                Tula gingerbread 1h48 condensed milk</t>
  </si>
  <si>
    <t xml:space="preserve">                Tula gingerbread 1h52 Fruit</t>
  </si>
  <si>
    <t xml:space="preserve">                Ears with sugar hlebzavod №28 1x8</t>
  </si>
  <si>
    <t xml:space="preserve">                Ears with sugar and cinnamon bread-baking plant №28 1x8</t>
  </si>
  <si>
    <t xml:space="preserve">                Ears with sugar and poppy seeds hlebzavod №28 1x8</t>
  </si>
  <si>
    <t xml:space="preserve">            Yashkino</t>
  </si>
  <si>
    <t xml:space="preserve">                Waffles Yashkino 200g. 1h24 Boiled condensed milk</t>
  </si>
  <si>
    <t xml:space="preserve">                Waffles Yashkino 200g. 1h24 Creamy</t>
  </si>
  <si>
    <t xml:space="preserve">                Waffles Yashkino 300g. 1h15 Creamy</t>
  </si>
  <si>
    <t xml:space="preserve">                Waffles Yashkino 300g. 1h15 Chocolate</t>
  </si>
  <si>
    <t xml:space="preserve">                Gingerbread Yashkino 350g. 1x8 Cherry</t>
  </si>
  <si>
    <t xml:space="preserve">                Gingerbread Yashkino 350g. 1x8 Classic</t>
  </si>
  <si>
    <t xml:space="preserve">                Gingerbread Yashkino 350g. 1x8 Mint</t>
  </si>
  <si>
    <t xml:space="preserve">                Gingerbread Yashkino 350g. 1x8 Sugar Glaze</t>
  </si>
  <si>
    <t xml:space="preserve">                Gingerbread Yashkino 350g. 1x8 Chocolate</t>
  </si>
  <si>
    <t xml:space="preserve">          Chocolate</t>
  </si>
  <si>
    <t xml:space="preserve">            Korkunoff</t>
  </si>
  <si>
    <t xml:space="preserve">                Korkunoff 190g.1h10 !!!!! (72) assortment of milkweed. shock. New Packaging</t>
  </si>
  <si>
    <t xml:space="preserve">                Korkunoff 190g.1h10 !!!!! (72) Assorted Dark / milkweed. New shock Packing</t>
  </si>
  <si>
    <t xml:space="preserve">                Korkunoff 190g.1h10 milkweed. Hazelnut New Packaging</t>
  </si>
  <si>
    <t xml:space="preserve">                Korkunoff 190g.1h12 Assorted Dark / milkweed. shock</t>
  </si>
  <si>
    <t xml:space="preserve">                Korkunoff 190g.1h12 Dark with hazelnuts</t>
  </si>
  <si>
    <t xml:space="preserve">                Korkunoff 250g.1h11 Assorted Dark / milkweed. New shock Packing</t>
  </si>
  <si>
    <t xml:space="preserve">                Korkunoff 250g.1h11 Dark with hazelnuts New Packaging</t>
  </si>
  <si>
    <t xml:space="preserve">                Korkunoff 90g. 1h12sht piece Milk Hazelnut New Packaging</t>
  </si>
  <si>
    <t xml:space="preserve">                Korkunoff 90g. 1h14sht Bitter 55% New Packaging</t>
  </si>
  <si>
    <t xml:space="preserve">                Korkunoff 90g. 1h14sht Bitter almonds with New Packing</t>
  </si>
  <si>
    <t xml:space="preserve">                Korkunoff 90g. 1h14sht Milk Walnut / Raisins New Packaging</t>
  </si>
  <si>
    <t xml:space="preserve">            Kraft + Bolshevik</t>
  </si>
  <si>
    <t xml:space="preserve">                Alpen</t>
  </si>
  <si>
    <t xml:space="preserve">                    Alpengold Shock 90g. 1h5h20 Raisins, Walnut (Purple) (384)</t>
  </si>
  <si>
    <t xml:space="preserve">                    Alpengold Shock 90g. 1h5h20 Almond / Coconut (White) (384)</t>
  </si>
  <si>
    <t xml:space="preserve">                    Alpengold Shock 90g. 1h5h20 Walnut (Green) (384)</t>
  </si>
  <si>
    <t xml:space="preserve">                    Alpengold Shock 90g. 1h5h20 Strawberry Yogurt (384)</t>
  </si>
  <si>
    <t xml:space="preserve">                    Alpengold Shock 90g. 1h5h20 Milk (384)</t>
  </si>
  <si>
    <t xml:space="preserve">                    Alpengold Shock 90g. 1h5h20 Blueberry Yogurt (384)</t>
  </si>
  <si>
    <t xml:space="preserve">                    Alpengold Shock 90g. 1h5h20 Salty Almond / Caramel (384)</t>
  </si>
  <si>
    <t xml:space="preserve">                    Alpengold Shock 90g. 1h5h20 Dark (384)</t>
  </si>
  <si>
    <t xml:space="preserve">                    Alpengold Shock 90g. 1h5h20 Dark and White (384)</t>
  </si>
  <si>
    <t xml:space="preserve">                    Alpengold Shock 90g. 1h5h20 Peanuts and Corn Flakes (384)</t>
  </si>
  <si>
    <t xml:space="preserve">                    Alpengold Shock 90g. 1h5h20 Cappuccino (384)</t>
  </si>
  <si>
    <t xml:space="preserve">                    Alpengold Shock 90g. 1h5h20 Salted Peanuts Cracker + (384)</t>
  </si>
  <si>
    <t xml:space="preserve">                    Alpengold Shock 90g. 1h5h20 Dark Raspberry / Yogurt (384)</t>
  </si>
  <si>
    <t xml:space="preserve">                    Alpengold Shock 90g. 1h5h20 Dark Almond / Cherry (384)</t>
  </si>
  <si>
    <t xml:space="preserve">                Bolshevik</t>
  </si>
  <si>
    <t xml:space="preserve">                    Alpengold Baton 32g. 1h40 Almond / Coconut (White)</t>
  </si>
  <si>
    <t xml:space="preserve">                    Alpengold Baton 32g. 1h40 Walnut (Green)</t>
  </si>
  <si>
    <t xml:space="preserve">                    Alpengold MaksFan 160g. 1h14 Milk with explosive caramel</t>
  </si>
  <si>
    <t xml:space="preserve">                    Alpengold MaksFan 160g. 1h15 Cola / Popkrn / Caramel</t>
  </si>
  <si>
    <t xml:space="preserve">                    Alpengold MaksFan 160g. 1h15 milk with peanuts</t>
  </si>
  <si>
    <t xml:space="preserve">                    Alpengold MAKSFILL 85g. 1h15 puffed rice</t>
  </si>
  <si>
    <t xml:space="preserve">                    Alpengold MAKSFILL 85g. 1h15 Cornflakes</t>
  </si>
  <si>
    <t xml:space="preserve">                    Alpengold Chocolate 200g. 1h4h10 whole nuts</t>
  </si>
  <si>
    <t xml:space="preserve">                    Alpengold Chocolate 200g. 1h5h10 Raisins, Walnut (purple)</t>
  </si>
  <si>
    <t xml:space="preserve">                    Air Chocolate 95g.1h24 Bel. Raspberries</t>
  </si>
  <si>
    <t xml:space="preserve">                    Air Chocolate 95g.1h24 Bel.Mol. Cranberry</t>
  </si>
  <si>
    <t xml:space="preserve">                    Air Chocolate 95g.1h24 Mol. Black currant</t>
  </si>
  <si>
    <t xml:space="preserve">                    Milk Chocolate 90g.1h5h20 (stuffing) Strawberries and Cream</t>
  </si>
  <si>
    <t xml:space="preserve">                    Milk Chocolate 90g.1h5h20 (stuffing) Almond and Wild Berries</t>
  </si>
  <si>
    <t xml:space="preserve">                    Milk Chocolate 83g Babbls. Milk porous 1h5h20</t>
  </si>
  <si>
    <t xml:space="preserve">                    Milk Chocolate 83g Babbls. 1h5h20 porous with almonds</t>
  </si>
  <si>
    <t xml:space="preserve">                    Milk Chocolate 83g Babbls. 1h5h20 porous with hazelnuts</t>
  </si>
  <si>
    <t xml:space="preserve">                    Cookies AG Shokolayf 136g.1h21 Orange (Fad)</t>
  </si>
  <si>
    <t xml:space="preserve">                    Cookies AG Shokolayf 136g.1h21 Cherry (Fad)</t>
  </si>
  <si>
    <t xml:space="preserve">                    Cookies AG Shokolayf 136g.1h21 Strawberry (Fad)</t>
  </si>
  <si>
    <t xml:space="preserve">                    Cookies AG Shokolayf 136g.1h21 Forest Berries (Fad)</t>
  </si>
  <si>
    <t xml:space="preserve">                    Fad cake 230g 1h22 Classic with peanuts</t>
  </si>
  <si>
    <t xml:space="preserve">                    Fad cake 370g 1h14 Classic with peanuts</t>
  </si>
  <si>
    <t xml:space="preserve">                Air</t>
  </si>
  <si>
    <t xml:space="preserve">                    Air Chocolate 85g. 1h5h20 White (272)</t>
  </si>
  <si>
    <t xml:space="preserve">                    Air Chocolate 85g. 1h5h20 Gorky (272)</t>
  </si>
  <si>
    <t xml:space="preserve">                    Air Chocolate 85g. 1h5h20 Milk (272)</t>
  </si>
  <si>
    <t xml:space="preserve">                Milka</t>
  </si>
  <si>
    <t xml:space="preserve">                    Milk Chocolate 90g. 1h19 piece Hazelnut (323)</t>
  </si>
  <si>
    <t xml:space="preserve">                    Milk Chocolate 90g. 1h4h20 Mol. Whole almonds (384)</t>
  </si>
  <si>
    <t xml:space="preserve">                    Milk Chocolate 90g. 1h5h20 Raisin, Hazelnut (384)</t>
  </si>
  <si>
    <t xml:space="preserve">                    Milk Chocolate 90g. 1h5h20 Caramel (384)</t>
  </si>
  <si>
    <t xml:space="preserve">                    Milk Chocolate 90g. 1h5h20 Milk / White (384)</t>
  </si>
  <si>
    <t xml:space="preserve">                    Milk Chocolate 90g. 1h5h20 Milk (384)</t>
  </si>
  <si>
    <t xml:space="preserve">                    Milk Chocolate 90g. 1h5h20 Hazelnut (384)</t>
  </si>
  <si>
    <t xml:space="preserve">                Barney Bear</t>
  </si>
  <si>
    <t xml:space="preserve">                    Barney Bear 150g. 1x20 Banana / Yogurt</t>
  </si>
  <si>
    <t xml:space="preserve">                    Barney Bear 150g. 1x20 Strawberry beginning.</t>
  </si>
  <si>
    <t xml:space="preserve">                    Barney Bear 150g. 1x20 Milk beginning.</t>
  </si>
  <si>
    <t xml:space="preserve">                    Barney Bear 150g. 1x20 Chocolate early.</t>
  </si>
  <si>
    <t xml:space="preserve">                    Barney Bear 30g. 1h24 Strawberry</t>
  </si>
  <si>
    <t xml:space="preserve">                    Barney Bear 30g. 1h24 Dairy beginning.</t>
  </si>
  <si>
    <t xml:space="preserve">                    Barney Bear 30g. 1h24 Chocolate early.</t>
  </si>
  <si>
    <t xml:space="preserve">                Tuk</t>
  </si>
  <si>
    <t xml:space="preserve">                    Tuk cracker 100g.1h24sht Bacon</t>
  </si>
  <si>
    <t xml:space="preserve">                    Tuk cracker 100g.1h24sht Smetana / Onion</t>
  </si>
  <si>
    <t xml:space="preserve">                    Tuk cracker 100g.1h24sht Sol</t>
  </si>
  <si>
    <t xml:space="preserve">                    Tuk 100g.1h24sht Cheese crackers</t>
  </si>
  <si>
    <t xml:space="preserve">                    Tuk cracker 21g.1h24sht Smetana / Onion</t>
  </si>
  <si>
    <t xml:space="preserve">                    Tuk cracker 21g.1h24sht Sol</t>
  </si>
  <si>
    <t xml:space="preserve">                    Tuk 21g.1h24sht Cheese crackers</t>
  </si>
  <si>
    <t xml:space="preserve">                    Tuk 112g.1h12sht cracker sandwich smoked cheese</t>
  </si>
  <si>
    <t xml:space="preserve">                    Knock Sandwich crackers 112g.1h12sht Cheese / Onion</t>
  </si>
  <si>
    <t xml:space="preserve">                    Tuk 28g.1h16sht cracker sandwich smoked cheese</t>
  </si>
  <si>
    <t xml:space="preserve">                    Knock Sandwich crackers 28g.1h16sht Cheese / Onion</t>
  </si>
  <si>
    <t xml:space="preserve">                Jubilee</t>
  </si>
  <si>
    <t xml:space="preserve">                    Jubilee biscuits 112g.1h60 Dairy (65)</t>
  </si>
  <si>
    <t xml:space="preserve">                    Jubilee biscuits 112g.1h60 Traditional New grammage (65)</t>
  </si>
  <si>
    <t xml:space="preserve">                    Jubilee biscuits 116g.1h60 in shok.glazuri New grammage (80)</t>
  </si>
  <si>
    <t xml:space="preserve">                    Jubilee biscuits 134g.1h30 Traditional New grammage (112)</t>
  </si>
  <si>
    <t xml:space="preserve">                    Jubilee Morning Honey with hazelnuts 250g.1h20</t>
  </si>
  <si>
    <t xml:space="preserve">                    Jubilee Morning 250g.1h20 Multizlakovoe</t>
  </si>
  <si>
    <t xml:space="preserve">                    Jubilee Morning 250g.1h20 with Cocoa</t>
  </si>
  <si>
    <t xml:space="preserve">                    Jubilee Morning 250g.1h20 with cereals and cereals</t>
  </si>
  <si>
    <t xml:space="preserve">                    Jubilee Morning 253g.1h20 Sandwich Yogurt New Packaging</t>
  </si>
  <si>
    <t xml:space="preserve">                    Jubilee Morning 253g.1h20 Sandwich Cocoa / Yogurt New Packaging</t>
  </si>
  <si>
    <t xml:space="preserve">            Mars</t>
  </si>
  <si>
    <t xml:space="preserve">                Bounty 52g.1h4h32 Paradise Mango</t>
  </si>
  <si>
    <t xml:space="preserve">                Bounty 55g.1h6h32</t>
  </si>
  <si>
    <t xml:space="preserve">                Bounty 82g.1h6h24 Trio</t>
  </si>
  <si>
    <t xml:space="preserve">                M &amp; M Peanut 45g.1h5h32</t>
  </si>
  <si>
    <t xml:space="preserve">                M &amp; M Chocolate 45g.1h6h32</t>
  </si>
  <si>
    <t xml:space="preserve">                Mars 50g.1h8h36</t>
  </si>
  <si>
    <t xml:space="preserve">                Mars 73g.1h7h24 Max</t>
  </si>
  <si>
    <t xml:space="preserve">                Milky Way Chocolate bar 26g. 1h6h36</t>
  </si>
  <si>
    <t xml:space="preserve">                Milky Way Chocolate bar 52g. 1h6h18</t>
  </si>
  <si>
    <t xml:space="preserve">                Snickers 50,5g. 1h6h48</t>
  </si>
  <si>
    <t xml:space="preserve">                Snickers 81g. 1h5h32 hazelnuts</t>
  </si>
  <si>
    <t xml:space="preserve">                Snickers 87g. 1h5h32 Peanut Riot</t>
  </si>
  <si>
    <t xml:space="preserve">                Snickers Super 95g.1h4h32</t>
  </si>
  <si>
    <t xml:space="preserve">                Twix 55g.1h6h40</t>
  </si>
  <si>
    <t xml:space="preserve">                Twix 82g.1h6h24 Extra</t>
  </si>
  <si>
    <t xml:space="preserve">                Bounty 27g.1h7sht Multi Pak 1h28</t>
  </si>
  <si>
    <t xml:space="preserve">                Weight 6 kg Milky Way</t>
  </si>
  <si>
    <t xml:space="preserve">                Weight 7 kg Mars</t>
  </si>
  <si>
    <t xml:space="preserve">                Weight 7 kg Twix</t>
  </si>
  <si>
    <t xml:space="preserve">                Dove 90g. 1h16 Milk Almond / Orange Grilyazh New Packaging</t>
  </si>
  <si>
    <t xml:space="preserve">                Dove 90g. 1h16 Milk with Hazelnuts New Packaging</t>
  </si>
  <si>
    <t xml:space="preserve">                Dove 90g. 1h16 Milk with whole hazelnuts New Packaging</t>
  </si>
  <si>
    <t xml:space="preserve">                Dove 90g. 1h16 Milk Hazelnut / Raisin New Packaging</t>
  </si>
  <si>
    <t xml:space="preserve">                Dove 90g. 1h16 Milk Chocolate New Packaging</t>
  </si>
  <si>
    <t xml:space="preserve">                Dove 90g. 1h16 Dark Chocolate New Packaging</t>
  </si>
  <si>
    <t xml:space="preserve">                Candy Dove Promises 118g. 1h14 Assorted NG</t>
  </si>
  <si>
    <t xml:space="preserve">                Candy Dove Promises 118g. 1h14 Dessert Assorted NG</t>
  </si>
  <si>
    <t xml:space="preserve">                Candy Dove Promises 120g. 1h14 Milk NG</t>
  </si>
  <si>
    <t xml:space="preserve">                M &amp; M Peanut 130g.1h24</t>
  </si>
  <si>
    <t xml:space="preserve">                M &amp; M Peanut 360g.1h15</t>
  </si>
  <si>
    <t xml:space="preserve">                M &amp; M Chocolate 130g.1h24</t>
  </si>
  <si>
    <t xml:space="preserve">                M &amp; M Chocolate 360g. 1h15</t>
  </si>
  <si>
    <t xml:space="preserve">                37g.1h40sht Maltesers Chocolate Balls</t>
  </si>
  <si>
    <t xml:space="preserve">                85g.1h20sht Maltesers Chocolate Balls</t>
  </si>
  <si>
    <t xml:space="preserve">                Mars 180g. Minis 1h9</t>
  </si>
  <si>
    <t xml:space="preserve">                Mars 40g.1h5sht Multi Pak 1h28</t>
  </si>
  <si>
    <t xml:space="preserve">                Milky Way Chocolate bar 176g. Minis 1h9</t>
  </si>
  <si>
    <t xml:space="preserve">                Milky Way Chocolate bar 26g. 1h5sht Multi Pak 1h28</t>
  </si>
  <si>
    <t xml:space="preserve">                180g Snickers. Minis 1h9</t>
  </si>
  <si>
    <t xml:space="preserve">                Snickers 40g.h5 Multi Pak 1h28</t>
  </si>
  <si>
    <t xml:space="preserve">                Twix 184g.Minis 1h9</t>
  </si>
  <si>
    <t xml:space="preserve">                Twix 55g.1h5sht Multi Pak 1h18</t>
  </si>
  <si>
    <t xml:space="preserve">            Nestle (Baton)</t>
  </si>
  <si>
    <t xml:space="preserve">                Kit-Kat 40g.1h35 Batonchik (286)</t>
  </si>
  <si>
    <t xml:space="preserve">                Kit-Kat Trio 87g.1h20 New (224)</t>
  </si>
  <si>
    <t xml:space="preserve">                Kit-Kat 45g.1h27 Tiles (288)</t>
  </si>
  <si>
    <t xml:space="preserve">                Kit-Kat 58g.1h35 King Size DUO (165)</t>
  </si>
  <si>
    <t xml:space="preserve">                Kit Kat Dark Chocolate bar 40g.1h35 (286)</t>
  </si>
  <si>
    <t xml:space="preserve">                Nats Batonchik 50g.1h30 New Packaging (266)</t>
  </si>
  <si>
    <t xml:space="preserve">                Nuts Megabyte 66g.1h24 New Packaging (234)</t>
  </si>
  <si>
    <t xml:space="preserve">                Nesquik Chocolate bar 28g.1h8h36 Small</t>
  </si>
  <si>
    <t xml:space="preserve">                Nesquik Chocolate bar 43g.1h36 New Packaging (198)</t>
  </si>
  <si>
    <t xml:space="preserve">            Nestle (Bon-Pari)</t>
  </si>
  <si>
    <t xml:space="preserve">                Bon Pari 75g.1h24sht "Savinov" Assorted Fruit</t>
  </si>
  <si>
    <t xml:space="preserve">                Bon Pari 75g.1h24sht "Savinov" Melon, Watermelon</t>
  </si>
  <si>
    <t xml:space="preserve">                Bon Pari 75g.1h24sht "Savinov" Garden Berries</t>
  </si>
  <si>
    <t xml:space="preserve">                Bon Pari Souffle Vanilla 90g.1h24sht</t>
  </si>
  <si>
    <t xml:space="preserve">                Bon Pari Marmi. fruit. 75g.1h32sht Machines</t>
  </si>
  <si>
    <t xml:space="preserve">                Bon Pari Marmi. fruit. 75g.1h32sht Bears</t>
  </si>
  <si>
    <t xml:space="preserve">                Bon Pari Marmi. fruit. 75g.1h32sht Worms</t>
  </si>
  <si>
    <t xml:space="preserve">            Nestle (Weighted)</t>
  </si>
  <si>
    <t xml:space="preserve">                Weight 2 kg milk Nuts</t>
  </si>
  <si>
    <t xml:space="preserve">                Weight 2 kg Nesquik milk</t>
  </si>
  <si>
    <t xml:space="preserve">                Weight 3 kg Kit-Kat Dairy (96)</t>
  </si>
  <si>
    <t xml:space="preserve">                Kit-Kat 202g.Mini 1h18</t>
  </si>
  <si>
    <t xml:space="preserve">                Nats 168g.Mini 1h18</t>
  </si>
  <si>
    <t xml:space="preserve">                Nesquik 188g.Mini 1h18</t>
  </si>
  <si>
    <t xml:space="preserve">            Nestle (Stove)</t>
  </si>
  <si>
    <t xml:space="preserve">                Nesquik 100g Tile. 1x20 strawberry filling</t>
  </si>
  <si>
    <t xml:space="preserve">                Nesquik 100g Tile. 1x20 milk filling</t>
  </si>
  <si>
    <t xml:space="preserve">                Nesquik 100g Tile. 1x20 with cereal and berries</t>
  </si>
  <si>
    <t xml:space="preserve">                Nestle 90g. 1h21 Milk Lesn.Oreh New Packaging</t>
  </si>
  <si>
    <t xml:space="preserve">                Nestle 90g. 1h21 Milk Almonds / Raisins New Packaging</t>
  </si>
  <si>
    <t xml:space="preserve">                Nestle 90g. 1h22 Milk New Packaging</t>
  </si>
  <si>
    <t xml:space="preserve">            Nestle (Ready Breakfast)</t>
  </si>
  <si>
    <t xml:space="preserve">                I am ready tomorrow. Korn - Flex 330g. 1x20</t>
  </si>
  <si>
    <t xml:space="preserve">                Ready Flex Zavtr.Gold 300g.1h16</t>
  </si>
  <si>
    <t xml:space="preserve">                Ready Zavtr.Kosmos Star 225g.1h16</t>
  </si>
  <si>
    <t xml:space="preserve">                Ready Zavtr.Kosmos Star 325g.1h20</t>
  </si>
  <si>
    <t xml:space="preserve">                Ready Zavtr.Kosmos Star Package 225g.1h24</t>
  </si>
  <si>
    <t xml:space="preserve">                Ready Zavtr.Neskvik 250g.1h16</t>
  </si>
  <si>
    <t xml:space="preserve">                Ready Zavtr.Neskvik 250g.1h16 DUO</t>
  </si>
  <si>
    <t xml:space="preserve">                Ready Zavtr.Neskvik 375g.1h20</t>
  </si>
  <si>
    <t xml:space="preserve">                Ready Zavtr.Neskvik 375g.1h20 DUO</t>
  </si>
  <si>
    <t xml:space="preserve">                Ready Zavtr.Neskvik 375g.1h20 Alphabet</t>
  </si>
  <si>
    <t xml:space="preserve">                Ready Zavtr.Neskvik 500g.1h10</t>
  </si>
  <si>
    <t xml:space="preserve">                Ready Flex Zavtr.Snou 300g.1h16</t>
  </si>
  <si>
    <t xml:space="preserve">                Ready Zavtr.Fitnes 250g.1h16</t>
  </si>
  <si>
    <t xml:space="preserve">                Ready Zavtr.Fitnes 260g.1h16 Strawberry</t>
  </si>
  <si>
    <t xml:space="preserve">                Ready Zavtr.Fitnes 300g.1h16 Fruits</t>
  </si>
  <si>
    <t xml:space="preserve">                Alenka</t>
  </si>
  <si>
    <t xml:space="preserve">                    Alenka Chocolate 100g. 1h6h14 Plain (70)</t>
  </si>
  <si>
    <t xml:space="preserve">                    Alenka Chocolate 15g. 1h7h42 Mini (128)</t>
  </si>
  <si>
    <t xml:space="preserve">                    Alenka Chocolate 20g. 1h2h128 (120) Little</t>
  </si>
  <si>
    <t xml:space="preserve">                    Alenka Chocolate. 200g. Normal 1h18 (200)</t>
  </si>
  <si>
    <t xml:space="preserve">                    Babaev Batonchik 1h6h20sht (112) Drain. beg.</t>
  </si>
  <si>
    <t xml:space="preserve">                    Babaev Batonchik 1h6h20sht (112) Chocolate early.</t>
  </si>
  <si>
    <t xml:space="preserve">                    Babaev Chocolate 100g. 1h4h12 (108) Bitter</t>
  </si>
  <si>
    <t xml:space="preserve">                    Babaev Chocolate 100g. 1h4h12 (108) Elite</t>
  </si>
  <si>
    <t xml:space="preserve">                    Luxury Chocolate 100gr.1h4h13 (108)</t>
  </si>
  <si>
    <t xml:space="preserve">                Alenka 40g.1h6sht Biscuit 1x12</t>
  </si>
  <si>
    <t xml:space="preserve">                Alenka Chocolate 100g. 1h4h17 Portion</t>
  </si>
  <si>
    <t xml:space="preserve">                Alenka Chocolate 100g. 1h6h14 Hazelnut</t>
  </si>
  <si>
    <t xml:space="preserve">                Alenka Chocolate 100g. 1h6h14 Hazelnuts and raisins</t>
  </si>
  <si>
    <t xml:space="preserve">                Alenka Chocolate 60g. 1h3h45 Neutral</t>
  </si>
  <si>
    <t xml:space="preserve">                Alenka Chocolate 95g. porous 1h4h14</t>
  </si>
  <si>
    <t xml:space="preserve">                Babaev Chocolate 100g. Corporate 1h4h12</t>
  </si>
  <si>
    <t xml:space="preserve">                Babaev Chocolate 100g. 1h4h15 Almonds</t>
  </si>
  <si>
    <t xml:space="preserve">                Babaev Chocolate 100g. 1h4h16 Hazelnut</t>
  </si>
  <si>
    <t xml:space="preserve">                Babaev Chocolate 100g. 1h4h16 Hazelnut / Raisin</t>
  </si>
  <si>
    <t xml:space="preserve">                Babaev Chocolate 100g. 1h4h17 Orange / Almond</t>
  </si>
  <si>
    <t xml:space="preserve">                Inspiration Chocolate 100g. 1h4h17</t>
  </si>
  <si>
    <t xml:space="preserve">                Inspiration Chocolate 60g. 1h3h45</t>
  </si>
  <si>
    <t xml:space="preserve">                Assorted Candies Rectangle 220g.1h8</t>
  </si>
  <si>
    <t xml:space="preserve">                Assorted Chocolates RotFront 240g.1h10</t>
  </si>
  <si>
    <t xml:space="preserve">                Candy Bouquets Assorted Babaevskie 300g.1h8</t>
  </si>
  <si>
    <t xml:space="preserve">                Candy Squirrel 400g.1h8</t>
  </si>
  <si>
    <t xml:space="preserve">                Sweet Inspiration 215g.1h12</t>
  </si>
  <si>
    <t xml:space="preserve">                Sweet Inspiration 240g.1h7</t>
  </si>
  <si>
    <t xml:space="preserve">                Sweet Inspiration 450g.1h8</t>
  </si>
  <si>
    <t xml:space="preserve">                Sweet Inspiration (flashlight) 150g.1h5</t>
  </si>
  <si>
    <t xml:space="preserve">                Candy Evening bell 320g.1h8</t>
  </si>
  <si>
    <t xml:space="preserve">                Visit Candy 450g.1h8</t>
  </si>
  <si>
    <t xml:space="preserve">                Candy Golden Dome 310g.1h8</t>
  </si>
  <si>
    <t xml:space="preserve">                Candy Red October 350g.1h16 Troika</t>
  </si>
  <si>
    <t xml:space="preserve">                Sweet Autumn Waltz 320g.1h8</t>
  </si>
  <si>
    <t xml:space="preserve">                Red October Chocolate 80% 75g. 1h4h14</t>
  </si>
  <si>
    <t xml:space="preserve">                Clumsy Bear Chocolate 75g. 1h4h14</t>
  </si>
  <si>
    <t xml:space="preserve">                Walnut Chocolate 60g. 1h3h45</t>
  </si>
  <si>
    <t xml:space="preserve">                Autumn Waltz Chocolate 100g. 1h4h20</t>
  </si>
  <si>
    <t xml:space="preserve">                Glory Chocolate 75g. 1h4h10</t>
  </si>
  <si>
    <t xml:space="preserve">                Loose chocolates "Alenka" 1 / 250g. 4.5 kg 18 pcs</t>
  </si>
  <si>
    <t xml:space="preserve">                Loose chocolates "Babaevskaya Squirrel" 1 / 5kg 250g. 20 pc</t>
  </si>
  <si>
    <t xml:space="preserve">                Loose chocolates "Babaev Truffle" 1 / 250g. 8 items</t>
  </si>
  <si>
    <t xml:space="preserve">                Loose chocolates "Barberry" 1 / 5kg 250g. 20 pc</t>
  </si>
  <si>
    <t xml:space="preserve">                Loose chocolates "Petrel" 1 / 6kg 250g. 24 pc</t>
  </si>
  <si>
    <t xml:space="preserve">                Loose chocolates "Inspiration" 1 / 250g 5 kg 20 pcs</t>
  </si>
  <si>
    <t xml:space="preserve">                Weighted candy "Evening Bells" 1/6 kg 250g. 24 pc</t>
  </si>
  <si>
    <t xml:space="preserve">                Loose chocolates "Candied roasted nuts in chocolate" 1 / 5kg 250g. 20 pc</t>
  </si>
  <si>
    <t xml:space="preserve">                Loose chocolates "Duchess" 1 / 5kg 250g. 20 pc</t>
  </si>
  <si>
    <t xml:space="preserve">                Loose chocolates "Zamoskvorechye" 1 / 4.5 kg 250g. 18 pcs</t>
  </si>
  <si>
    <t xml:space="preserve">                Loose chocolates "Golden Key" 1 / 250g 5 kg 20 pcs</t>
  </si>
  <si>
    <t xml:space="preserve">                Loose chocolates "Kara Kum" 1 / 5kg 200g. 24 pc</t>
  </si>
  <si>
    <t xml:space="preserve">                Loose chocolates "Kara Kum" 1 / 5kg 250g. 20 pc</t>
  </si>
  <si>
    <t xml:space="preserve">                Loose chocolates "Keys Keys" 1 / 250g 5 kg 20 pcs</t>
  </si>
  <si>
    <t xml:space="preserve">                Loose chocolates "Strawberry" 1 / 5kg 250g. 20 pc</t>
  </si>
  <si>
    <t xml:space="preserve">                Weighted candy "Cow milk" 1 / 250g. 2 kg 8 pcs</t>
  </si>
  <si>
    <t xml:space="preserve">                Weighted candy "Cow Sasha" 1 / 5kg 250g. 20 pc</t>
  </si>
  <si>
    <t xml:space="preserve">                Loose chocolates "Red Riding Hood" 1 / 4.5 kg 250g. 18 pcs</t>
  </si>
  <si>
    <t xml:space="preserve">                Loose chocolates "Swallow" 1 / 6kg 250g. 24 pc</t>
  </si>
  <si>
    <t xml:space="preserve">                Loose chocolates "Lemon" 1 / 5kg 250g. 20 pc</t>
  </si>
  <si>
    <t xml:space="preserve">                Loose chocolates "Mask" 1 / 5kg 250g. 20 pc</t>
  </si>
  <si>
    <t xml:space="preserve">                Loose chocolates "Bear Bruin" 1 / 4.5 kg 250g. 18 pcs</t>
  </si>
  <si>
    <t xml:space="preserve">                Loose chocolates "Muscovite" 1 / 5kg 250g. 20 pc</t>
  </si>
  <si>
    <t xml:space="preserve">                Loose chocolates "Delight" with the soft. caramel 1/250 2 kg 8 pcs</t>
  </si>
  <si>
    <t xml:space="preserve">                Loose chocolates "Autumn Waltz" 1 / 6kg 250g. 24 pc</t>
  </si>
  <si>
    <t xml:space="preserve">                Loose chocolates "Rot Front" 1 / 5kg 250g. 20 pc</t>
  </si>
  <si>
    <t xml:space="preserve">                Loose chocolates "Truffles Einem" 1/3 kg 250g. 12 pc</t>
  </si>
  <si>
    <t xml:space="preserve">                Loose chocolates "Halvka chocolate" 1 / 7,2kg 1 / 400g. 18 pcs</t>
  </si>
  <si>
    <t xml:space="preserve">                Loose chocolates "Black Currant" 1 / 5kg 250g. 20 pc</t>
  </si>
  <si>
    <t xml:space="preserve">            Riether</t>
  </si>
  <si>
    <t xml:space="preserve">                Ritten Sport 100g. DURATION 1h11 to 12.12.2015g. Vanilla Mousse SUPER PRICE</t>
  </si>
  <si>
    <t xml:space="preserve">                Ritten Sport 100g. 1h9 Bitter luxury Cocoa 73%</t>
  </si>
  <si>
    <t xml:space="preserve">                Ritten Sport 100g. 1x10 white with whole nuts</t>
  </si>
  <si>
    <t xml:space="preserve">                Ritten Sport 100g. 1x10 Bitter with whole nuts</t>
  </si>
  <si>
    <t xml:space="preserve">                Ritten Sport 100g. 1x10 Milk with whole nuts</t>
  </si>
  <si>
    <t xml:space="preserve">                Ritten Sport 100g. 1h11 Vanilla Mousse</t>
  </si>
  <si>
    <t xml:space="preserve">                Ritten Sport 100g. 1h11 Cocoa Mousse</t>
  </si>
  <si>
    <t xml:space="preserve">                Ritten Sport 100g. 1h11 Milk with whole almonds</t>
  </si>
  <si>
    <t xml:space="preserve">                Ritten Sport 100g. 1h11 Cookies</t>
  </si>
  <si>
    <t xml:space="preserve">                Ritten Sport 100g. 1h11 Salted Almonds and Honey NEW</t>
  </si>
  <si>
    <t xml:space="preserve">                Ritten Sport 100g. 1x12 White with Yogurt and Lemon NEW</t>
  </si>
  <si>
    <t xml:space="preserve">                Ritten Sport 100g. 1x12 Camel / Crushed Almond</t>
  </si>
  <si>
    <t xml:space="preserve">                Ritten Sport 100g. 1x12 Caramel / Nut</t>
  </si>
  <si>
    <t xml:space="preserve">                Ritten Sport 100g. 1x12 Strawberry Yogurt</t>
  </si>
  <si>
    <t xml:space="preserve">                Ritten Sport 100g. 1x12 Coffee Glace NEW</t>
  </si>
  <si>
    <t xml:space="preserve">                Ritten Sport 100g. 1x12 Marzipan</t>
  </si>
  <si>
    <t xml:space="preserve">                Ritten Sport 100g. 1x12 Alpine Milk</t>
  </si>
  <si>
    <t xml:space="preserve">                Ritten Sport 100g. 1x12 Milk with coconut filling</t>
  </si>
  <si>
    <t xml:space="preserve">                Ritten Sport 100g. 1x12 Milk with coffee / Crushed Walnut</t>
  </si>
  <si>
    <t xml:space="preserve">                Ritten Sport 100g. 1x12 Milk / Caramel Almond</t>
  </si>
  <si>
    <t xml:space="preserve">                Ritten Sport 100g. 1x12 Milk / Nut bagel</t>
  </si>
  <si>
    <t xml:space="preserve">                Ritten Sport 100g. 1x12 Milk / Spicy Chai Latte</t>
  </si>
  <si>
    <t xml:space="preserve">                Ritten Sport 100g. 1x12 Rum / nuts and raisins</t>
  </si>
  <si>
    <t xml:space="preserve">                Ritten Sport 100g. 1x12 Dark with mint filling NEW</t>
  </si>
  <si>
    <t xml:space="preserve">                yayayaRitte Sport 100g. 1x12 Strawberry / Mint NEW</t>
  </si>
  <si>
    <t xml:space="preserve">                yayayayaRitte Sport 100g. 1x12 Milk Vanilla / bagel</t>
  </si>
  <si>
    <t xml:space="preserve">                yayayayaRitte Sport 100g. 1x12 Milk / White</t>
  </si>
  <si>
    <t xml:space="preserve">            Ferrero</t>
  </si>
  <si>
    <t xml:space="preserve">                Kinder Bueno 1h30</t>
  </si>
  <si>
    <t xml:space="preserve">                Kinder Deliz 1x10</t>
  </si>
  <si>
    <t xml:space="preserve">                Kinder Deliz 1x20</t>
  </si>
  <si>
    <t xml:space="preserve">                Kinder Joy Barbie 1h24</t>
  </si>
  <si>
    <t xml:space="preserve">                Kinder Joy Avengers 1h24</t>
  </si>
  <si>
    <t xml:space="preserve">                Kinder Joy 1h24 Fairies</t>
  </si>
  <si>
    <t xml:space="preserve">                Kinder Country 1h40</t>
  </si>
  <si>
    <t xml:space="preserve">                Kinder Surprise T36 Disney Princess LS</t>
  </si>
  <si>
    <t xml:space="preserve">                Kinder Surprise T36 Kung Fu Panda LS</t>
  </si>
  <si>
    <t xml:space="preserve">                Kinder Surprise T36 Masha and the Bear</t>
  </si>
  <si>
    <t xml:space="preserve">                Kinder Surprise T36 Pony</t>
  </si>
  <si>
    <t xml:space="preserve">                Kinder Surprise Enim T36 / Plenet</t>
  </si>
  <si>
    <t xml:space="preserve">                Kinder Shoko-Bons 125g. 1h16</t>
  </si>
  <si>
    <t xml:space="preserve">                Kinder Shoko-Bons 45g. 1x12</t>
  </si>
  <si>
    <t xml:space="preserve">                Kinder Chocolate 21g. 1h8h36 Maxi</t>
  </si>
  <si>
    <t xml:space="preserve">                Kinder Chocolate 100g. 1h4h10</t>
  </si>
  <si>
    <t xml:space="preserve">                Kinder Chocolate 50g. 1h8h20</t>
  </si>
  <si>
    <t xml:space="preserve">                Nutella shock. Pasta 180 g 1x8</t>
  </si>
  <si>
    <t xml:space="preserve">                Nutella shock. Pasta 350 g 1h15</t>
  </si>
  <si>
    <t xml:space="preserve">                Nutella shock. 630g pasta. 1x6</t>
  </si>
  <si>
    <t xml:space="preserve">                Rafaello T15 1h6sht 150g</t>
  </si>
  <si>
    <t xml:space="preserve">                Rafaello T24 1h6sht Flat</t>
  </si>
  <si>
    <t xml:space="preserve">                Rafaello T24 1h6sht Chest</t>
  </si>
  <si>
    <t xml:space="preserve">                Rafaello T30 1h8sht Iron</t>
  </si>
  <si>
    <t xml:space="preserve">                Raffaello T4 1h16sht x 4bl</t>
  </si>
  <si>
    <t xml:space="preserve">                Raffaello T8 1h12sht Sachet</t>
  </si>
  <si>
    <t xml:space="preserve">                Raffaello T9 1h12sht 90g. With Mindlalёm</t>
  </si>
  <si>
    <t xml:space="preserve">                Rafaello Cake T10 1h6sht</t>
  </si>
  <si>
    <t xml:space="preserve">                Rafaello Cake T20 1h4sht</t>
  </si>
  <si>
    <t xml:space="preserve">                Rafaello Cake T60 1h2sht</t>
  </si>
  <si>
    <t xml:space="preserve">                Rocher Chocolates T10h6, 125g. Premium</t>
  </si>
  <si>
    <t xml:space="preserve">                Rocher Chocolates T16h20, 200g.</t>
  </si>
  <si>
    <t xml:space="preserve">                Rocher Chocolates T28h3, 357 Cone</t>
  </si>
  <si>
    <t xml:space="preserve">                Rocher Chocolates 300g. T24h4 Diamond</t>
  </si>
  <si>
    <t xml:space="preserve">                Rocher Chocolates T15h6, 172,2g. Collection</t>
  </si>
  <si>
    <t xml:space="preserve">                Rocher Chocolates T24h4, 247.g Collection</t>
  </si>
  <si>
    <t xml:space="preserve">                Rocher Chocolates T32h6, 347 g.Kollektsiya</t>
  </si>
  <si>
    <t xml:space="preserve">                Roche Pristizh T21h4 246 g</t>
  </si>
  <si>
    <t xml:space="preserve">                Roche Pristizh T23h4 254 g</t>
  </si>
  <si>
    <t xml:space="preserve">                So Tik- 1h24 Orange</t>
  </si>
  <si>
    <t xml:space="preserve">                So Tik- 1h24 Orange / Mint</t>
  </si>
  <si>
    <t xml:space="preserve">                So Tik- 1h24 Strawberry</t>
  </si>
  <si>
    <t xml:space="preserve">                So Tik- 1h24 Mint</t>
  </si>
  <si>
    <t xml:space="preserve">                So Tik- 1h24 Mint Mix</t>
  </si>
  <si>
    <t xml:space="preserve">            Ferrero New Year</t>
  </si>
  <si>
    <t xml:space="preserve">                Kinder House Mix T10 191g.1h10</t>
  </si>
  <si>
    <t xml:space="preserve">                Kinder Mix Gift T12 152g.1h12</t>
  </si>
  <si>
    <t xml:space="preserve">                Kinder Mini Mix 106 g Gift T24. 1h24</t>
  </si>
  <si>
    <t xml:space="preserve">                Kinder Surprise T12 100g. 1x12 Maxi Egg</t>
  </si>
  <si>
    <t xml:space="preserve">                Kinder Surprise 75g T12. 1x12 Figured</t>
  </si>
  <si>
    <t xml:space="preserve">                Kinder Frendz 200g. 1x6</t>
  </si>
  <si>
    <t xml:space="preserve">                Kinder Circus T8 135g. 1x8 Santa Claus</t>
  </si>
  <si>
    <t xml:space="preserve">            Chocolates "Vaydeks" (Serbia)</t>
  </si>
  <si>
    <t xml:space="preserve">                Candy Vaydeks Vanilla 120g. 1h18 with vanilla flavor</t>
  </si>
  <si>
    <t xml:space="preserve">                Candy Vaydeks Vanilla 194g. 1x12 with vanilla flavor</t>
  </si>
  <si>
    <t xml:space="preserve">                Candy Vaydeks Roman 132g. 1h18 Tastefully Roma</t>
  </si>
  <si>
    <t xml:space="preserve">                Candy Vaydeks Roman 212g. 1x12 Tastefully Roma</t>
  </si>
  <si>
    <t xml:space="preserve">                Candy Vaydeks Cherry 128g. 1h18 Cherry liqueur</t>
  </si>
  <si>
    <t xml:space="preserve">                Candy Vaydeks Cherry 204g. 1x12 Cherry liqueur</t>
  </si>
  <si>
    <t xml:space="preserve">            Storck</t>
  </si>
  <si>
    <t xml:space="preserve">                Mamba 1h48h6</t>
  </si>
  <si>
    <t xml:space="preserve">                Mercy 250g Assorted 1h10sht</t>
  </si>
  <si>
    <t xml:space="preserve">                Mercy 400g Assorted 1h8sht</t>
  </si>
  <si>
    <t xml:space="preserve">                Mercy 675g Assorted 1h6sht</t>
  </si>
  <si>
    <t xml:space="preserve">                Mercy chocolate 100g. 1h15sht Bitter 72%</t>
  </si>
  <si>
    <t xml:space="preserve">                Mercy chocolate 100g. 1h15sht Coffee and Cream</t>
  </si>
  <si>
    <t xml:space="preserve">                Mercy chocolate 100g. 1h15sht Hazelnut / Almonds</t>
  </si>
  <si>
    <t xml:space="preserve">                Mercy chocolate 100g. 1h15sht Milk</t>
  </si>
  <si>
    <t xml:space="preserve">         Gum and candy</t>
  </si>
  <si>
    <t xml:space="preserve">            Vanmeler</t>
  </si>
  <si>
    <t xml:space="preserve">                Vata Sweet Tutti Frutti 1x12</t>
  </si>
  <si>
    <t xml:space="preserve">                Iris Möller 1h24h8 White (64)</t>
  </si>
  <si>
    <t xml:space="preserve">                Iris Möller 1h24h8 Mint (64)</t>
  </si>
  <si>
    <t xml:space="preserve">                Iris Möller 1h24h8 Plain (64)</t>
  </si>
  <si>
    <t xml:space="preserve">                1h20h16 Mentos Fruit Mix</t>
  </si>
  <si>
    <t xml:space="preserve">                Mentos Mint 1h20h16</t>
  </si>
  <si>
    <t xml:space="preserve">                Mentos Rainbow 1h20h16</t>
  </si>
  <si>
    <t xml:space="preserve">                Mentos 1h20h16 Tutti Frutti</t>
  </si>
  <si>
    <t xml:space="preserve">                Mentos Fruit 1h20h16</t>
  </si>
  <si>
    <t xml:space="preserve">                Frutella 1h20h16 Magic</t>
  </si>
  <si>
    <t xml:space="preserve">                Frutella 1h20h16 Rainbow</t>
  </si>
  <si>
    <t xml:space="preserve">                Frutella 1h20h16 Tutti Frutti</t>
  </si>
  <si>
    <t xml:space="preserve">                Frutella 1h20h16 Assorted Fruit</t>
  </si>
  <si>
    <t xml:space="preserve">                Frutella !!!!!! 1h20h16 Yogurt with strawberries</t>
  </si>
  <si>
    <t xml:space="preserve">                Chupa XXL 1h40h12 4D Assorted</t>
  </si>
  <si>
    <t xml:space="preserve">                Chupa XXL 1h60h8 Bank</t>
  </si>
  <si>
    <t xml:space="preserve">                Chupa Chups 1h100h12 Assort Kosmofruktika</t>
  </si>
  <si>
    <t xml:space="preserve">                Chupa Chups 1h100h12 MINI Assorted</t>
  </si>
  <si>
    <t xml:space="preserve">                Chupa Chups 1h100h12 Ice Cream</t>
  </si>
  <si>
    <t xml:space="preserve">                Chupa Chups 1h100h12 Fruit</t>
  </si>
  <si>
    <t xml:space="preserve">                Chupa Chups 1h100h12 Exotic</t>
  </si>
  <si>
    <t xml:space="preserve">                Chupa Chups 1h24h12 Double Portion</t>
  </si>
  <si>
    <t xml:space="preserve">                Chupa Chups 1h70h12 MAX Frutella Assorted</t>
  </si>
  <si>
    <t xml:space="preserve">                Chupa Chups 1h150h12 w / w</t>
  </si>
  <si>
    <t xml:space="preserve">            Fishing gum FROM</t>
  </si>
  <si>
    <t xml:space="preserve">                Gum "Catching Out" 1h100h20 Pineapple / Coconut</t>
  </si>
  <si>
    <t xml:space="preserve">                Gum "Catching Out" 1h100h20 Orange / Pineapple</t>
  </si>
  <si>
    <t xml:space="preserve">                Gum "Catching Out" 1h100h20 Banana / Strawberry</t>
  </si>
  <si>
    <t xml:space="preserve">                Gum "Catching Out" 1h100h20 Cherry / Lemon</t>
  </si>
  <si>
    <t xml:space="preserve">                Gum "Catching Out" 1h100h20 Apple / Lemon</t>
  </si>
  <si>
    <t xml:space="preserve">                Gum Giveaway 1h120h10</t>
  </si>
  <si>
    <t xml:space="preserve">                Cookies "Love is Love Notes" 1h12blh30sht Classic</t>
  </si>
  <si>
    <t xml:space="preserve">            ZVN - toys with candy</t>
  </si>
  <si>
    <t xml:space="preserve">                Drops with a toy labeled "Pinwheel" 8d. 1h20blh30sht (ZVN)</t>
  </si>
  <si>
    <t xml:space="preserve">                Drops labeled "Sours mix" 12g. 1h30blh20sht (ZVN)</t>
  </si>
  <si>
    <t xml:space="preserve">                ZVN Drops with a toy "Flashlight with Figure" 10g. 1h12blh24sht</t>
  </si>
  <si>
    <t xml:space="preserve">                ZVN Drops labeled "Strong Candy" 12g. 1h30blh20sht</t>
  </si>
  <si>
    <t xml:space="preserve">                ZVN Gum "zhum zhum" bucket 4d. 1h12blh200sht</t>
  </si>
  <si>
    <t xml:space="preserve">                ZVN Gum "balabolov plates" 13g. 1h30blh20sht</t>
  </si>
  <si>
    <t xml:space="preserve">                ZVN Gum "balabolov Pillows" 14g. 1h30blh24sht</t>
  </si>
  <si>
    <t xml:space="preserve">                ZVN Gum "balabolov Colored Pillows" 3,3g. 1h12blh180sht</t>
  </si>
  <si>
    <t xml:space="preserve">                ZVN Zheleyka candy "Mr. Zhuikov" 25g. 1h12blh24sht</t>
  </si>
  <si>
    <t xml:space="preserve">                ZVN Caramel soft "CC Stick" 7d. 1h12blh40sht</t>
  </si>
  <si>
    <t xml:space="preserve">                ZVN Caramel with a toy "Sweet little family candy" 8d. 1h30blh20sht</t>
  </si>
  <si>
    <t xml:space="preserve">                ZVN Caramel marked "Roto Candy" 13g. 1h8blh40sht</t>
  </si>
  <si>
    <t xml:space="preserve">                ZVN Caramel marked "Candy Roto" 6d. 1h8blh100sht</t>
  </si>
  <si>
    <t xml:space="preserve">                ZVN Caramel marked "Neon Catalonia" 12g. 1h18blh30sht</t>
  </si>
  <si>
    <t xml:space="preserve">                ZVN Caramel marked "Neon Svetalon-Vertalon" 12g. 1h30blh20sht</t>
  </si>
  <si>
    <t xml:space="preserve">                ZVN candy labeled "Soda" 7d. 1h20blh30sht</t>
  </si>
  <si>
    <t xml:space="preserve">                ZVN Candy marked "A slice of freshness" 8d. 1h24blh20sht</t>
  </si>
  <si>
    <t xml:space="preserve">            Toys + Marmalade</t>
  </si>
  <si>
    <t xml:space="preserve">                Bebetta 20.g 1h36h8</t>
  </si>
  <si>
    <t xml:space="preserve">                Bebetta 15g. 1h48h6 Watermelon</t>
  </si>
  <si>
    <t xml:space="preserve">                Bebetta 15g. 1h48h6 Blackberry</t>
  </si>
  <si>
    <t xml:space="preserve">                Bebetta 15g. 1h48h6 Strawberry</t>
  </si>
  <si>
    <t xml:space="preserve">                Bebetta 15g. Apple 1h48h6</t>
  </si>
  <si>
    <t xml:space="preserve">                Bebetta 35g. 1h24h8 sticks Watermelon</t>
  </si>
  <si>
    <t xml:space="preserve">                Bebetta 35g. 1h24h8 sticks Strawberries</t>
  </si>
  <si>
    <t xml:space="preserve">                Bebetta 35g. 1h24h8 sticks Cola</t>
  </si>
  <si>
    <t xml:space="preserve">                Bebetta 35g. 1h24h8 sticks Fruit Mix</t>
  </si>
  <si>
    <t xml:space="preserve">                Bebetta 35g. 1h24h8 sticks Apple</t>
  </si>
  <si>
    <t xml:space="preserve">                Bebetta 35g. 1h24h8 Shpagetti Strawberry-Apple</t>
  </si>
  <si>
    <t xml:space="preserve">                Cock Ice. 26g.1h50h12</t>
  </si>
  <si>
    <t xml:space="preserve">                Rainbow 20g.h24</t>
  </si>
  <si>
    <t xml:space="preserve">                Chill '15 1h24blh30sht Assorted</t>
  </si>
  <si>
    <t xml:space="preserve">                Chill Drops in boxes 1h18h24</t>
  </si>
  <si>
    <t>Cadbury</t>
  </si>
  <si>
    <t xml:space="preserve">                Dirol</t>
  </si>
  <si>
    <t xml:space="preserve">                    Dirol 1h30h24 Pineapple Winter</t>
  </si>
  <si>
    <t xml:space="preserve">                    Dirol 1h30h24 Watermelon</t>
  </si>
  <si>
    <t xml:space="preserve">                    Dirol 1h30h24 Watermelon and melon</t>
  </si>
  <si>
    <t xml:space="preserve">                    Dirol 1h30h24 Grapes</t>
  </si>
  <si>
    <t xml:space="preserve">                    Dirol 1h30h24 Cherry</t>
  </si>
  <si>
    <t xml:space="preserve">                    Dirol 1h30h24 Pear</t>
  </si>
  <si>
    <t xml:space="preserve">                    Dirol 1h30h24 For Him Tarragon</t>
  </si>
  <si>
    <t xml:space="preserve">                    Dirol 1h30h24 For Her Cherry</t>
  </si>
  <si>
    <t xml:space="preserve">                    Dirol 1h30h24 Strawberries</t>
  </si>
  <si>
    <t xml:space="preserve">                    Dirol 1h30h24 Strawberry Glade</t>
  </si>
  <si>
    <t xml:space="preserve">                    Dirol 1h30h24 cranberry juice</t>
  </si>
  <si>
    <t xml:space="preserve">                    Dirol 1h30h24 Lime</t>
  </si>
  <si>
    <t xml:space="preserve">                    Dirol 1h30h24 Ledenev Mint</t>
  </si>
  <si>
    <t xml:space="preserve">                    Dirol 1h30h24 Lemon</t>
  </si>
  <si>
    <t xml:space="preserve">                    Dirol 1h30h24 Raspberry</t>
  </si>
  <si>
    <t xml:space="preserve">                    Dirol 1h30h24 Mandarin</t>
  </si>
  <si>
    <t xml:space="preserve">                    Dirol 1h30h24 Melissa</t>
  </si>
  <si>
    <t xml:space="preserve">                    1h30h24 Dirol Frosty Mint</t>
  </si>
  <si>
    <t xml:space="preserve">                    Dirol Mint 1h30h24</t>
  </si>
  <si>
    <t xml:space="preserve">                    Dirol 1h30h24 Sweet Mint</t>
  </si>
  <si>
    <t xml:space="preserve">                    Dirol 1h30h24 Tropic</t>
  </si>
  <si>
    <t xml:space="preserve">                    Dirol 1h30h24 Berry Morse</t>
  </si>
  <si>
    <t xml:space="preserve">                Picnic</t>
  </si>
  <si>
    <t xml:space="preserve">                    Picnic 38g. Normal 1x35 (264)</t>
  </si>
  <si>
    <t xml:space="preserve">                    Picnic 52g 1x35 King Size Walnut (180)</t>
  </si>
  <si>
    <t xml:space="preserve">                    Picnic 76g.1h30 BIG New Packaging (135)</t>
  </si>
  <si>
    <t xml:space="preserve">                Halls</t>
  </si>
  <si>
    <t xml:space="preserve">                    Halls 1h12h30 Watermelon</t>
  </si>
  <si>
    <t xml:space="preserve">                    Halls 1h12h30 Assorted</t>
  </si>
  <si>
    <t xml:space="preserve">                    Halls 1h12h30 Ginger and Mandarin</t>
  </si>
  <si>
    <t xml:space="preserve">                    Halls 1h12h30 Lemon + Honey</t>
  </si>
  <si>
    <t xml:space="preserve">                    Halls 1h12h30 Blue Original</t>
  </si>
  <si>
    <t xml:space="preserve">                    Halls 1h12h30 Black</t>
  </si>
  <si>
    <t xml:space="preserve">                    Halls 1h12h30 Berries</t>
  </si>
  <si>
    <t xml:space="preserve">            Coffee beans</t>
  </si>
  <si>
    <t xml:space="preserve">                Coffee beans in chocolate 25g. 1h18blh20pach Irish Cream</t>
  </si>
  <si>
    <t xml:space="preserve">                Coffee beans in chocolate 25g. 1h18blh20pach Cappuccino</t>
  </si>
  <si>
    <t xml:space="preserve">                Coffee beans in chocolate 25g. 1h18blh20pach Chocolate</t>
  </si>
  <si>
    <t xml:space="preserve">            Wrigley</t>
  </si>
  <si>
    <t xml:space="preserve">                Orbit Orange 1h30h20-Exotics</t>
  </si>
  <si>
    <t xml:space="preserve">                Orbit 1h30h20 Watermelon</t>
  </si>
  <si>
    <t xml:space="preserve">                Orbit 1h30h20 Grapes</t>
  </si>
  <si>
    <t xml:space="preserve">                Orbit 1h30h20 Vinterfresh</t>
  </si>
  <si>
    <t xml:space="preserve">                Orbit 1h30h20 Strawberries</t>
  </si>
  <si>
    <t xml:space="preserve">                1h30h20 Orbit Strawberry-Banana</t>
  </si>
  <si>
    <t xml:space="preserve">                Orbit Lime 1h30h20</t>
  </si>
  <si>
    <t xml:space="preserve">                Orbit 1h30h20 Peach-Passionfruit</t>
  </si>
  <si>
    <t xml:space="preserve">                Orbit 1h30h20 Cool Mint</t>
  </si>
  <si>
    <t xml:space="preserve">                1h30h20 Orbit Sweet Mint</t>
  </si>
  <si>
    <t xml:space="preserve">                Orbit 1h30h20 Berry Mix</t>
  </si>
  <si>
    <t xml:space="preserve">                Orbit 1h30h20 Snow White Bubblemint</t>
  </si>
  <si>
    <t xml:space="preserve">                Orbit 1h30h20 Snow White Watermelon-Melon</t>
  </si>
  <si>
    <t xml:space="preserve">                Orbit 1h30h20 Snow White Classic</t>
  </si>
  <si>
    <t xml:space="preserve">                Orbit 1h30h20 Snow White Strawberry-Exotics</t>
  </si>
  <si>
    <t xml:space="preserve">                Orbit 1h30h20 Snow White Soft Mint</t>
  </si>
  <si>
    <t xml:space="preserve">                Orbit 1h30h20 Snow White Refreshing Mint</t>
  </si>
  <si>
    <t xml:space="preserve">                Orbit 1h30h20 Snow White Fruit</t>
  </si>
  <si>
    <t xml:space="preserve">                Orbit Kids Strawberry 1h20h18</t>
  </si>
  <si>
    <t xml:space="preserve">                Orbit Baby Pink 1h20h18</t>
  </si>
  <si>
    <t xml:space="preserve">                Crystal 1h15h18 Orbit Strawberry-Banana NEW</t>
  </si>
  <si>
    <t xml:space="preserve">                Crystal 1h15h18 Orbit Sweet Mint NEW</t>
  </si>
  <si>
    <t xml:space="preserve">                Orbit Crystal 1h15h18 Juicy Lime NEW</t>
  </si>
  <si>
    <t xml:space="preserve">                Orbit Watermelon Candies 1h8h20</t>
  </si>
  <si>
    <t xml:space="preserve">                Orbit Strawberry Lollipops 1h8h20</t>
  </si>
  <si>
    <t xml:space="preserve">                Orbit 1h8h20 Lemon Lozenges</t>
  </si>
  <si>
    <t xml:space="preserve">                Orbit Peppermint Candies 1h8h20</t>
  </si>
  <si>
    <t xml:space="preserve">                Orbit Lollipops 1h8h20 Berry</t>
  </si>
  <si>
    <t xml:space="preserve">                Orbit Black Watermelon 1h10h18 flurry</t>
  </si>
  <si>
    <t xml:space="preserve">                Orbit Black 1h10h18 Chilling Storm (Blue)</t>
  </si>
  <si>
    <t xml:space="preserve">                Orbit Black 1h10h18 Mint discharge (Green)</t>
  </si>
  <si>
    <t xml:space="preserve">                Orbit Black 1h10h18 Fruit Charge</t>
  </si>
  <si>
    <t xml:space="preserve">                Orbit Black 1h10h18 Berry Wave (Fusion)</t>
  </si>
  <si>
    <t xml:space="preserve">                Wrigley 1h20h30 Dablmint</t>
  </si>
  <si>
    <t xml:space="preserve">                Wrigley's spearmint 1h20h30</t>
  </si>
  <si>
    <t xml:space="preserve">                Rondo 1h14h16 Watermelon 30g.</t>
  </si>
  <si>
    <t xml:space="preserve">                Rondo 1h14h16 Strawberry 30g.</t>
  </si>
  <si>
    <t xml:space="preserve">                Rondo 1h14h16 Lemon 30g.</t>
  </si>
  <si>
    <t xml:space="preserve">                Rondo 1h14h16 Mint 30g.</t>
  </si>
  <si>
    <t xml:space="preserve">                Skitls 1x12 Two in One (Pink)</t>
  </si>
  <si>
    <t xml:space="preserve">                Skitls 1x12 Green Sour DEAL !!!!!!!</t>
  </si>
  <si>
    <t xml:space="preserve">                Skitls 1x12 Red (Fruit) PROMOTION !!!!!!!</t>
  </si>
  <si>
    <t xml:space="preserve">                Huba Buba-1h24 Strawberry</t>
  </si>
  <si>
    <t xml:space="preserve">                Huba Buba-Cola 1h24</t>
  </si>
  <si>
    <t xml:space="preserve">                Huba Buba-1x8 Delicious Strawberry Feed</t>
  </si>
  <si>
    <t xml:space="preserve">                Huba Buba-1x8 Cherry Delicious Feed</t>
  </si>
  <si>
    <t xml:space="preserve">                Eclipse gum 1h30h20 Orange / Lemon</t>
  </si>
  <si>
    <t xml:space="preserve">                Eclipse gum 1h30h20 Cherry</t>
  </si>
  <si>
    <t xml:space="preserve">                Eclipse gum 1h30h20 Forest berry</t>
  </si>
  <si>
    <t xml:space="preserve">                Eclipse gum 1h30h20 Fresh Mint</t>
  </si>
  <si>
    <t xml:space="preserve">                Eclipse gum 1h30h20 Blue freezes freshness</t>
  </si>
  <si>
    <t xml:space="preserve">                Eclipse gum 1h30h20 Tropic</t>
  </si>
  <si>
    <t xml:space="preserve">            HARIBO gummy candy</t>
  </si>
  <si>
    <t xml:space="preserve">                100g HARIBO 1h30 Zephyr Shamellous Schleck</t>
  </si>
  <si>
    <t xml:space="preserve">                HARIBO 14,8g 1h6blh135sht Fruit Rainbow (Bank)</t>
  </si>
  <si>
    <t xml:space="preserve">                HARIBO Fruit Mix 22g 1h6blh50sht (Cubes, Bank)</t>
  </si>
  <si>
    <t xml:space="preserve">                HARIBO 40g 1h6blh30sht Snakes (the Bank)</t>
  </si>
  <si>
    <t xml:space="preserve">                HARIBO 40g 1h6blh30sht Centipede (Bank)</t>
  </si>
  <si>
    <t xml:space="preserve">                HARIBO 7,5g 1h8blh200sht Tubes Mini Cola (the Bank)</t>
  </si>
  <si>
    <t xml:space="preserve">                HARIBO jelly 70g 1x20 Goldberen (Golden Bear)</t>
  </si>
  <si>
    <t xml:space="preserve">                HARIBO jelly 70g 1x20 Worms Vummis</t>
  </si>
  <si>
    <t xml:space="preserve">                HARIBO jelly 100g 1h24 Fruity-Buzzo</t>
  </si>
  <si>
    <t xml:space="preserve">                100g HARIBO jelly Berries 1h24</t>
  </si>
  <si>
    <t xml:space="preserve">                HARIBO jelly 70g 1x20 Happy Cola</t>
  </si>
  <si>
    <t xml:space="preserve">                HARIBO jelly 85g 1h15 Smurfs</t>
  </si>
  <si>
    <t xml:space="preserve">            EVR</t>
  </si>
  <si>
    <t xml:space="preserve">                Baba Yaga 1h48h12</t>
  </si>
  <si>
    <t xml:space="preserve">                Bobs Medovo Lemon 1h12h24</t>
  </si>
  <si>
    <t xml:space="preserve">                Bobs Wild Berries 1h12h24</t>
  </si>
  <si>
    <t xml:space="preserve">                Bobs Raspberry 1h12h24</t>
  </si>
  <si>
    <t xml:space="preserve">                Bobs Efkalipt 1h12h24</t>
  </si>
  <si>
    <t xml:space="preserve">                Five Plus punishments. candy 1h48h6</t>
  </si>
  <si>
    <t xml:space="preserve">                trinket 1h24h6</t>
  </si>
  <si>
    <t xml:space="preserve">                Frou-Frou Marmalade 1h24h8 Yellow Package</t>
  </si>
  <si>
    <t xml:space="preserve">                Frou-Frou Marmalade 1h24h8 Green Package</t>
  </si>
  <si>
    <t xml:space="preserve">                Frou-Frou Marmalade Tube 1h12h12</t>
  </si>
  <si>
    <t>Confectionery and snack products</t>
  </si>
  <si>
    <t>block</t>
  </si>
  <si>
    <t>pkg</t>
  </si>
  <si>
    <t>Units</t>
  </si>
  <si>
    <t>euro</t>
  </si>
  <si>
    <t>Products</t>
  </si>
  <si>
    <t xml:space="preserve">            Oniconf</t>
  </si>
  <si>
    <t xml:space="preserve">            Oniconf (Weighted)</t>
  </si>
  <si>
    <t>евро/kg</t>
  </si>
  <si>
    <t>Crystalline vanillin in / s</t>
  </si>
  <si>
    <t>Crystal Vanilla, 1 / s</t>
  </si>
  <si>
    <t>Filling poppy "Star" (dry)</t>
  </si>
  <si>
    <t>Filling poppy "Classical" (ready) 72%</t>
  </si>
  <si>
    <t>Filling poppy "Classical" (ready) 65%</t>
  </si>
  <si>
    <t>Filling chocolate-nut with peanuts</t>
  </si>
  <si>
    <t>Filling with hazelnut yadr.arahisa (w / d 2-4 mm)</t>
  </si>
  <si>
    <t>Filling nut with peanuts (Muchka)</t>
  </si>
  <si>
    <t>Jam color in stock</t>
  </si>
  <si>
    <t>apple jam</t>
  </si>
  <si>
    <t>Crust SI 30-08 (dark tiles)</t>
  </si>
  <si>
    <t>Crust Elin D 08- (dark disc)</t>
  </si>
  <si>
    <t>Crust Elin 08-EN (dark disc)</t>
  </si>
  <si>
    <t>Crust S 2.08. (White disks)</t>
  </si>
  <si>
    <t>Chocolate Glaze R 1.03 (dark tiles, wheels)</t>
  </si>
  <si>
    <t>Chocolate B1.03 * 15 kg</t>
  </si>
  <si>
    <t>Cocoa powder production</t>
  </si>
  <si>
    <t>Almonds in chocolate</t>
  </si>
  <si>
    <t>Cashew in chocolate</t>
  </si>
  <si>
    <t>Hazelnut Chocolate</t>
  </si>
  <si>
    <t>Peanuts in chocolate</t>
  </si>
  <si>
    <t>Vanilla powder N Premium (bio)</t>
  </si>
  <si>
    <t>Vanilla powder PH Premium</t>
  </si>
  <si>
    <t>Oilseed crops / Oilseeds</t>
  </si>
  <si>
    <t>Dried sunflower seeds</t>
  </si>
  <si>
    <t>Pumpkin seeds peeled (Class A)</t>
  </si>
  <si>
    <t>1.5% milk powder, 25% in the range</t>
  </si>
  <si>
    <t>Egg powder is in the range of</t>
  </si>
  <si>
    <t>Starch of maize Russia</t>
  </si>
  <si>
    <t>wheat Gluten</t>
  </si>
  <si>
    <t>Groats corn number 3</t>
  </si>
  <si>
    <t>Mastic FANS Russia</t>
  </si>
  <si>
    <t>Homogenous Russia Marmalade (lemon, apricot, peach, orange, cherry, raspberry)</t>
  </si>
  <si>
    <t>Coriander whole Russia</t>
  </si>
  <si>
    <t>Coriander Russia</t>
  </si>
  <si>
    <t>Cumin powder Russia</t>
  </si>
  <si>
    <t>Packaging</t>
  </si>
  <si>
    <t>corrugated box 9kg</t>
  </si>
  <si>
    <t>corrugated box 14kg</t>
  </si>
  <si>
    <t>30kg drum</t>
  </si>
  <si>
    <t>corrugated box 20KG</t>
  </si>
  <si>
    <t>corrugated box 15kg</t>
  </si>
  <si>
    <t>gofrokor15kg, 20kg</t>
  </si>
  <si>
    <t>25kg bag</t>
  </si>
  <si>
    <t>corrugated box 3kg</t>
  </si>
  <si>
    <t>10kg bag</t>
  </si>
  <si>
    <t>1 kg</t>
  </si>
  <si>
    <t>15kg bag</t>
  </si>
  <si>
    <t>20kg bag</t>
  </si>
  <si>
    <t>on request</t>
  </si>
  <si>
    <t>The ingredients for the confectionery and baking industry</t>
  </si>
  <si>
    <t>Confectionary icing on lauric cocoa butter substitutes</t>
  </si>
  <si>
    <t xml:space="preserve"> Confectionary icing on lauric cocoa butter substitutes</t>
  </si>
  <si>
    <t>Chocolate</t>
  </si>
  <si>
    <t>Natural cocoa powder</t>
  </si>
  <si>
    <t>Nuts natural chocolate based on cocoa butter and cocoa liquor</t>
  </si>
  <si>
    <t>Milk powder, egg powder, starch</t>
  </si>
  <si>
    <t>Mastic</t>
  </si>
  <si>
    <t>Fillings</t>
  </si>
  <si>
    <t xml:space="preserve"> Spices</t>
  </si>
  <si>
    <t>Aromatics</t>
  </si>
  <si>
    <t>The extract of sea buckthorn juice, produced from the fruit of the Altai sea buckthorn</t>
  </si>
  <si>
    <t>Fitobalzamy based Altai honey</t>
  </si>
  <si>
    <t>Balms on cranberries, natural cherry juice, viburnum</t>
  </si>
  <si>
    <t>Balm herbal and antler raw Gorny Altai</t>
  </si>
  <si>
    <t>Fitobalzamy directional</t>
  </si>
  <si>
    <t>Fitobalzamy on the basis of the Altai herbs and berries</t>
  </si>
  <si>
    <t>Dry herbal balms (for the preparation of aqueous and / or alcoholic fitonastoek)</t>
  </si>
  <si>
    <t>Herbal teas from Altai</t>
  </si>
  <si>
    <t>Functional foods on the basis of the Altai sea buckthorn,</t>
  </si>
  <si>
    <t>Lots of natural essential oils: Fir, Burdock, Cedar, Sea Buckthorn Oil</t>
  </si>
  <si>
    <t>Products antlers maral</t>
  </si>
  <si>
    <t>The products based on honey and other bee products</t>
  </si>
  <si>
    <t>Natural cosmetics on the basis of the Altai sea buckthorn and honey</t>
  </si>
  <si>
    <t>Phytocosmetics with mineral complex jasper and porphyry</t>
  </si>
  <si>
    <t>Means for the care with oral Siberian herbs and mineral complex</t>
  </si>
  <si>
    <t>Natural gum "Zhivitsa Altai" with the addition of bee propolis wax</t>
  </si>
  <si>
    <t>Sea buckthorn</t>
  </si>
  <si>
    <t>Cranberry</t>
  </si>
  <si>
    <t>cowberry</t>
  </si>
  <si>
    <t>bilberry</t>
  </si>
  <si>
    <t>viburnum</t>
  </si>
  <si>
    <t>Blueberry</t>
  </si>
  <si>
    <t>Chokeberry</t>
  </si>
  <si>
    <t>white</t>
  </si>
  <si>
    <t>Mushroom Mokhovikov</t>
  </si>
  <si>
    <t>Mushroom boletus</t>
  </si>
  <si>
    <t>Mushroom morel</t>
  </si>
  <si>
    <t>orange-cap boletus</t>
  </si>
  <si>
    <t>Butter mushrooms</t>
  </si>
  <si>
    <t>Chanterelles</t>
  </si>
  <si>
    <t>Mushroom mix 300g / 8pcs</t>
  </si>
  <si>
    <t>Mushroom mixture (aspen, Mokhovikov)</t>
  </si>
  <si>
    <t>Pepper</t>
  </si>
  <si>
    <t>Tomatoes</t>
  </si>
  <si>
    <t>Eggplant</t>
  </si>
  <si>
    <t>squash</t>
  </si>
  <si>
    <t>Hawaiian mix</t>
  </si>
  <si>
    <t>Green peas</t>
  </si>
  <si>
    <t>Broccoli 2h3000g</t>
  </si>
  <si>
    <t>The quality of raw materials</t>
  </si>
  <si>
    <t>class I</t>
  </si>
  <si>
    <t xml:space="preserve">  elektronku</t>
  </si>
  <si>
    <t xml:space="preserve">  (Mechanics)</t>
  </si>
  <si>
    <t>Class I (elektronku)</t>
  </si>
  <si>
    <t>Class I (Mechanics)</t>
  </si>
  <si>
    <t xml:space="preserve"> (Elektronku)</t>
  </si>
  <si>
    <t>whole extra</t>
  </si>
  <si>
    <t>the whole class I</t>
  </si>
  <si>
    <t>Whole class II</t>
  </si>
  <si>
    <t>halves</t>
  </si>
  <si>
    <t>sliced</t>
  </si>
  <si>
    <t>baby-scrap</t>
  </si>
  <si>
    <t xml:space="preserve"> cube 1 grade</t>
  </si>
  <si>
    <t>Cube 2 grade</t>
  </si>
  <si>
    <t>Cube 3 grade</t>
  </si>
  <si>
    <t>extra</t>
  </si>
  <si>
    <t>the whole</t>
  </si>
  <si>
    <t>all</t>
  </si>
  <si>
    <t xml:space="preserve"> 10x10 cube</t>
  </si>
  <si>
    <t xml:space="preserve"> strips</t>
  </si>
  <si>
    <t>sliced ​​(10x10 cube)</t>
  </si>
  <si>
    <t>sliced ​​(slices)</t>
  </si>
  <si>
    <t>cut (kubik10h10)</t>
  </si>
  <si>
    <t>cut (rings)</t>
  </si>
  <si>
    <t>Package weight, kg.</t>
  </si>
  <si>
    <t>Box 10 kg</t>
  </si>
  <si>
    <t>10kg box</t>
  </si>
  <si>
    <t xml:space="preserve"> 25kg bag</t>
  </si>
  <si>
    <t>8kg box</t>
  </si>
  <si>
    <t>Box 8 kg</t>
  </si>
  <si>
    <t>5kg box</t>
  </si>
  <si>
    <t>4kg box</t>
  </si>
  <si>
    <t>7kg box</t>
  </si>
  <si>
    <t>6kg box</t>
  </si>
  <si>
    <t>Frozen vegetables</t>
  </si>
  <si>
    <t>Frozen berries</t>
  </si>
  <si>
    <t xml:space="preserve"> Frozen mushrooms</t>
  </si>
  <si>
    <t>price</t>
  </si>
  <si>
    <t>6 cm</t>
  </si>
  <si>
    <t xml:space="preserve"> Grade 1</t>
  </si>
  <si>
    <t xml:space="preserve">Blackcurrant </t>
  </si>
  <si>
    <t>Products from the Altay mountains</t>
  </si>
  <si>
    <t>North fish</t>
  </si>
</sst>
</file>

<file path=xl/styles.xml><?xml version="1.0" encoding="utf-8"?>
<styleSheet xmlns="http://schemas.openxmlformats.org/spreadsheetml/2006/main">
  <numFmts count="1">
    <numFmt numFmtId="180" formatCode="0.0"/>
  </numFmts>
  <fonts count="34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i/>
      <sz val="12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3"/>
      <name val="Arial"/>
      <family val="2"/>
      <charset val="1"/>
    </font>
    <font>
      <b/>
      <i/>
      <sz val="12"/>
      <name val="Arial"/>
      <family val="2"/>
      <charset val="1"/>
    </font>
    <font>
      <i/>
      <sz val="12"/>
      <name val="Arial"/>
      <family val="2"/>
      <charset val="1"/>
    </font>
    <font>
      <sz val="12"/>
      <name val="Arial"/>
      <family val="2"/>
      <charset val="1"/>
    </font>
    <font>
      <b/>
      <i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3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22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4" tint="0.79998168889431442"/>
        <bgColor indexed="27"/>
      </patternFill>
    </fill>
    <fill>
      <patternFill patternType="solid">
        <fgColor theme="0"/>
        <bgColor rgb="FF000000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7" fillId="0" borderId="0"/>
  </cellStyleXfs>
  <cellXfs count="172">
    <xf numFmtId="0" fontId="0" fillId="0" borderId="0" xfId="0"/>
    <xf numFmtId="0" fontId="4" fillId="2" borderId="0" xfId="1" applyFont="1" applyFill="1"/>
    <xf numFmtId="0" fontId="5" fillId="4" borderId="0" xfId="1" applyFont="1" applyFill="1"/>
    <xf numFmtId="0" fontId="1" fillId="4" borderId="0" xfId="1" applyFont="1" applyFill="1"/>
    <xf numFmtId="0" fontId="1" fillId="0" borderId="0" xfId="1" applyFont="1"/>
    <xf numFmtId="1" fontId="7" fillId="5" borderId="2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2" fontId="7" fillId="5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/>
    <xf numFmtId="0" fontId="18" fillId="0" borderId="0" xfId="3" applyFont="1" applyAlignment="1">
      <alignment horizontal="left"/>
    </xf>
    <xf numFmtId="0" fontId="21" fillId="0" borderId="0" xfId="3" applyFont="1" applyAlignment="1">
      <alignment horizontal="left"/>
    </xf>
    <xf numFmtId="0" fontId="18" fillId="3" borderId="2" xfId="3" applyNumberFormat="1" applyFont="1" applyFill="1" applyBorder="1" applyAlignment="1">
      <alignment horizontal="left" vertical="top" wrapText="1"/>
    </xf>
    <xf numFmtId="0" fontId="17" fillId="0" borderId="0" xfId="3" applyAlignment="1">
      <alignment horizontal="left"/>
    </xf>
    <xf numFmtId="0" fontId="17" fillId="0" borderId="0" xfId="3"/>
    <xf numFmtId="0" fontId="19" fillId="6" borderId="2" xfId="3" applyNumberFormat="1" applyFont="1" applyFill="1" applyBorder="1" applyAlignment="1">
      <alignment horizontal="left" vertical="top" wrapText="1"/>
    </xf>
    <xf numFmtId="0" fontId="20" fillId="6" borderId="2" xfId="3" applyNumberFormat="1" applyFont="1" applyFill="1" applyBorder="1" applyAlignment="1">
      <alignment horizontal="right" vertical="top" wrapText="1"/>
    </xf>
    <xf numFmtId="0" fontId="22" fillId="6" borderId="2" xfId="3" applyNumberFormat="1" applyFont="1" applyFill="1" applyBorder="1" applyAlignment="1">
      <alignment horizontal="left" vertical="top" wrapText="1"/>
    </xf>
    <xf numFmtId="0" fontId="9" fillId="2" borderId="2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14" fontId="13" fillId="4" borderId="2" xfId="1" applyNumberFormat="1" applyFont="1" applyFill="1" applyBorder="1" applyAlignment="1">
      <alignment horizontal="center" vertical="center"/>
    </xf>
    <xf numFmtId="0" fontId="13" fillId="0" borderId="0" xfId="0" applyFont="1"/>
    <xf numFmtId="0" fontId="9" fillId="4" borderId="2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top"/>
    </xf>
    <xf numFmtId="0" fontId="23" fillId="0" borderId="0" xfId="1" applyFont="1"/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9" fillId="4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vertical="center" wrapText="1"/>
    </xf>
    <xf numFmtId="180" fontId="9" fillId="2" borderId="6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 wrapText="1"/>
    </xf>
    <xf numFmtId="180" fontId="9" fillId="2" borderId="8" xfId="1" applyNumberFormat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vertical="center" wrapText="1"/>
    </xf>
    <xf numFmtId="180" fontId="13" fillId="4" borderId="8" xfId="1" applyNumberFormat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vertical="center"/>
    </xf>
    <xf numFmtId="180" fontId="13" fillId="4" borderId="8" xfId="1" applyNumberFormat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vertical="center"/>
    </xf>
    <xf numFmtId="180" fontId="13" fillId="4" borderId="10" xfId="1" applyNumberFormat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vertical="center"/>
    </xf>
    <xf numFmtId="0" fontId="9" fillId="4" borderId="7" xfId="1" applyFont="1" applyFill="1" applyBorder="1" applyAlignment="1">
      <alignment vertical="center" wrapText="1"/>
    </xf>
    <xf numFmtId="180" fontId="9" fillId="4" borderId="8" xfId="1" applyNumberFormat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horizontal="left" vertical="center" wrapText="1"/>
    </xf>
    <xf numFmtId="180" fontId="13" fillId="4" borderId="12" xfId="1" applyNumberFormat="1" applyFont="1" applyFill="1" applyBorder="1" applyAlignment="1">
      <alignment horizontal="center" vertical="center"/>
    </xf>
    <xf numFmtId="180" fontId="9" fillId="2" borderId="12" xfId="1" applyNumberFormat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left" vertical="center" wrapText="1"/>
    </xf>
    <xf numFmtId="0" fontId="9" fillId="2" borderId="13" xfId="1" applyFont="1" applyFill="1" applyBorder="1" applyAlignment="1">
      <alignment horizontal="left" vertical="center" wrapText="1"/>
    </xf>
    <xf numFmtId="14" fontId="13" fillId="4" borderId="14" xfId="1" applyNumberFormat="1" applyFont="1" applyFill="1" applyBorder="1" applyAlignment="1">
      <alignment horizontal="center" vertical="center"/>
    </xf>
    <xf numFmtId="180" fontId="9" fillId="2" borderId="15" xfId="1" applyNumberFormat="1" applyFont="1" applyFill="1" applyBorder="1" applyAlignment="1">
      <alignment horizontal="center" vertical="center" wrapText="1"/>
    </xf>
    <xf numFmtId="0" fontId="0" fillId="5" borderId="0" xfId="0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80" fontId="14" fillId="5" borderId="2" xfId="0" applyNumberFormat="1" applyFont="1" applyFill="1" applyBorder="1" applyAlignment="1">
      <alignment horizontal="center" vertical="center"/>
    </xf>
    <xf numFmtId="180" fontId="8" fillId="0" borderId="0" xfId="0" applyNumberFormat="1" applyFont="1" applyAlignment="1"/>
    <xf numFmtId="180" fontId="8" fillId="0" borderId="2" xfId="0" applyNumberFormat="1" applyFont="1" applyBorder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180" fontId="8" fillId="0" borderId="0" xfId="0" applyNumberFormat="1" applyFont="1"/>
    <xf numFmtId="0" fontId="9" fillId="5" borderId="2" xfId="0" applyNumberFormat="1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0" fontId="15" fillId="5" borderId="2" xfId="3" applyNumberFormat="1" applyFont="1" applyFill="1" applyBorder="1" applyAlignment="1">
      <alignment horizontal="left" vertical="top" wrapText="1"/>
    </xf>
    <xf numFmtId="0" fontId="24" fillId="3" borderId="2" xfId="3" applyNumberFormat="1" applyFont="1" applyFill="1" applyBorder="1" applyAlignment="1">
      <alignment horizontal="left" vertical="top" wrapText="1"/>
    </xf>
    <xf numFmtId="180" fontId="11" fillId="7" borderId="2" xfId="0" applyNumberFormat="1" applyFont="1" applyFill="1" applyBorder="1" applyAlignment="1">
      <alignment horizontal="center" vertical="center" wrapText="1"/>
    </xf>
    <xf numFmtId="0" fontId="27" fillId="5" borderId="16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180" fontId="11" fillId="8" borderId="2" xfId="0" applyNumberFormat="1" applyFont="1" applyFill="1" applyBorder="1" applyAlignment="1">
      <alignment horizontal="center" vertical="center" wrapText="1"/>
    </xf>
    <xf numFmtId="0" fontId="28" fillId="5" borderId="16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5" borderId="30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1" fillId="10" borderId="33" xfId="0" applyFont="1" applyFill="1" applyBorder="1"/>
    <xf numFmtId="0" fontId="30" fillId="10" borderId="21" xfId="0" applyFont="1" applyFill="1" applyBorder="1" applyAlignment="1">
      <alignment horizontal="center" vertical="center"/>
    </xf>
    <xf numFmtId="2" fontId="30" fillId="10" borderId="16" xfId="0" applyNumberFormat="1" applyFont="1" applyFill="1" applyBorder="1" applyAlignment="1">
      <alignment horizontal="center" vertical="center"/>
    </xf>
    <xf numFmtId="0" fontId="30" fillId="10" borderId="11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  <xf numFmtId="0" fontId="32" fillId="0" borderId="33" xfId="0" applyFont="1" applyBorder="1"/>
    <xf numFmtId="0" fontId="30" fillId="5" borderId="21" xfId="0" applyFont="1" applyFill="1" applyBorder="1" applyAlignment="1">
      <alignment horizontal="center" vertical="center"/>
    </xf>
    <xf numFmtId="2" fontId="30" fillId="5" borderId="16" xfId="0" applyNumberFormat="1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2" fontId="32" fillId="10" borderId="16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center" vertical="center"/>
    </xf>
    <xf numFmtId="0" fontId="32" fillId="10" borderId="2" xfId="0" applyFont="1" applyFill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/>
    </xf>
    <xf numFmtId="0" fontId="32" fillId="10" borderId="21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32" fillId="5" borderId="33" xfId="0" applyFont="1" applyFill="1" applyBorder="1"/>
    <xf numFmtId="0" fontId="33" fillId="10" borderId="33" xfId="0" applyFont="1" applyFill="1" applyBorder="1"/>
    <xf numFmtId="2" fontId="30" fillId="5" borderId="21" xfId="0" applyNumberFormat="1" applyFont="1" applyFill="1" applyBorder="1" applyAlignment="1">
      <alignment horizontal="center" vertical="center"/>
    </xf>
    <xf numFmtId="0" fontId="32" fillId="0" borderId="34" xfId="0" applyFont="1" applyBorder="1"/>
    <xf numFmtId="0" fontId="30" fillId="5" borderId="0" xfId="0" applyFont="1" applyFill="1" applyBorder="1" applyAlignment="1">
      <alignment horizontal="center" vertical="center"/>
    </xf>
    <xf numFmtId="2" fontId="30" fillId="5" borderId="0" xfId="0" applyNumberFormat="1" applyFont="1" applyFill="1" applyBorder="1" applyAlignment="1">
      <alignment horizontal="center" vertical="center"/>
    </xf>
    <xf numFmtId="0" fontId="32" fillId="5" borderId="35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2" fontId="30" fillId="5" borderId="45" xfId="0" applyNumberFormat="1" applyFont="1" applyFill="1" applyBorder="1" applyAlignment="1">
      <alignment horizontal="center" vertical="center"/>
    </xf>
    <xf numFmtId="0" fontId="33" fillId="0" borderId="33" xfId="0" applyFont="1" applyBorder="1"/>
    <xf numFmtId="0" fontId="32" fillId="0" borderId="37" xfId="0" applyFont="1" applyBorder="1"/>
    <xf numFmtId="0" fontId="30" fillId="5" borderId="38" xfId="0" applyFont="1" applyFill="1" applyBorder="1" applyAlignment="1">
      <alignment horizontal="center" vertical="center"/>
    </xf>
    <xf numFmtId="2" fontId="30" fillId="5" borderId="39" xfId="0" applyNumberFormat="1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40" xfId="0" applyFont="1" applyBorder="1"/>
    <xf numFmtId="0" fontId="30" fillId="10" borderId="41" xfId="0" applyFont="1" applyFill="1" applyBorder="1" applyAlignment="1">
      <alignment horizontal="center" vertical="center"/>
    </xf>
    <xf numFmtId="2" fontId="30" fillId="10" borderId="42" xfId="0" applyNumberFormat="1" applyFont="1" applyFill="1" applyBorder="1" applyAlignment="1">
      <alignment horizontal="center" vertical="center"/>
    </xf>
    <xf numFmtId="0" fontId="32" fillId="10" borderId="43" xfId="0" applyFont="1" applyFill="1" applyBorder="1" applyAlignment="1">
      <alignment horizontal="center" vertical="center"/>
    </xf>
    <xf numFmtId="0" fontId="32" fillId="10" borderId="44" xfId="0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/>
    </xf>
    <xf numFmtId="0" fontId="32" fillId="5" borderId="0" xfId="0" applyFont="1" applyFill="1" applyBorder="1"/>
    <xf numFmtId="0" fontId="32" fillId="5" borderId="0" xfId="0" applyFont="1" applyFill="1"/>
    <xf numFmtId="0" fontId="32" fillId="5" borderId="0" xfId="0" applyFont="1" applyFill="1" applyAlignment="1">
      <alignment horizontal="center" vertical="center"/>
    </xf>
    <xf numFmtId="2" fontId="32" fillId="5" borderId="0" xfId="0" applyNumberFormat="1" applyFont="1" applyFill="1" applyAlignment="1">
      <alignment horizontal="center" vertical="center"/>
    </xf>
    <xf numFmtId="2" fontId="18" fillId="3" borderId="2" xfId="3" applyNumberFormat="1" applyFont="1" applyFill="1" applyBorder="1" applyAlignment="1">
      <alignment horizontal="center" vertical="top" wrapText="1"/>
    </xf>
    <xf numFmtId="2" fontId="15" fillId="5" borderId="2" xfId="3" applyNumberFormat="1" applyFont="1" applyFill="1" applyBorder="1" applyAlignment="1">
      <alignment horizontal="center" vertical="top" wrapText="1"/>
    </xf>
    <xf numFmtId="2" fontId="24" fillId="3" borderId="2" xfId="3" applyNumberFormat="1" applyFont="1" applyFill="1" applyBorder="1" applyAlignment="1">
      <alignment horizontal="center" vertical="top" wrapText="1"/>
    </xf>
    <xf numFmtId="0" fontId="20" fillId="6" borderId="2" xfId="3" applyNumberFormat="1" applyFont="1" applyFill="1" applyBorder="1" applyAlignment="1">
      <alignment horizontal="center" vertical="top" wrapText="1"/>
    </xf>
    <xf numFmtId="0" fontId="18" fillId="3" borderId="2" xfId="3" applyNumberFormat="1" applyFont="1" applyFill="1" applyBorder="1" applyAlignment="1">
      <alignment horizontal="center" vertical="top" wrapText="1"/>
    </xf>
    <xf numFmtId="0" fontId="15" fillId="6" borderId="2" xfId="3" applyNumberFormat="1" applyFont="1" applyFill="1" applyBorder="1" applyAlignment="1">
      <alignment horizontal="center" vertical="top" wrapText="1"/>
    </xf>
    <xf numFmtId="0" fontId="15" fillId="5" borderId="2" xfId="3" applyNumberFormat="1" applyFont="1" applyFill="1" applyBorder="1" applyAlignment="1">
      <alignment horizontal="center" vertical="top" wrapText="1"/>
    </xf>
    <xf numFmtId="0" fontId="24" fillId="3" borderId="2" xfId="3" applyNumberFormat="1" applyFont="1" applyFill="1" applyBorder="1" applyAlignment="1">
      <alignment horizontal="center" vertical="top" wrapText="1"/>
    </xf>
    <xf numFmtId="0" fontId="17" fillId="0" borderId="0" xfId="3" applyAlignment="1">
      <alignment horizontal="center"/>
    </xf>
    <xf numFmtId="0" fontId="18" fillId="3" borderId="2" xfId="3" applyNumberFormat="1" applyFont="1" applyFill="1" applyBorder="1" applyAlignment="1">
      <alignment horizontal="center" vertical="center" wrapText="1"/>
    </xf>
    <xf numFmtId="0" fontId="15" fillId="5" borderId="2" xfId="3" applyNumberFormat="1" applyFont="1" applyFill="1" applyBorder="1" applyAlignment="1">
      <alignment horizontal="center" vertical="center" wrapText="1"/>
    </xf>
    <xf numFmtId="0" fontId="24" fillId="3" borderId="2" xfId="3" applyNumberFormat="1" applyFont="1" applyFill="1" applyBorder="1" applyAlignment="1">
      <alignment horizontal="center" vertical="center" wrapText="1"/>
    </xf>
    <xf numFmtId="0" fontId="9" fillId="5" borderId="16" xfId="0" applyNumberFormat="1" applyFont="1" applyFill="1" applyBorder="1" applyAlignment="1">
      <alignment vertical="top" wrapText="1"/>
    </xf>
    <xf numFmtId="0" fontId="9" fillId="5" borderId="20" xfId="0" applyNumberFormat="1" applyFont="1" applyFill="1" applyBorder="1" applyAlignment="1">
      <alignment vertical="top" wrapText="1"/>
    </xf>
    <xf numFmtId="0" fontId="9" fillId="5" borderId="21" xfId="0" applyNumberFormat="1" applyFont="1" applyFill="1" applyBorder="1" applyAlignment="1">
      <alignment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29" fillId="6" borderId="16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center" vertical="center" wrapText="1"/>
    </xf>
    <xf numFmtId="0" fontId="29" fillId="6" borderId="21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4" fontId="3" fillId="9" borderId="16" xfId="1" applyNumberFormat="1" applyFont="1" applyFill="1" applyBorder="1" applyAlignment="1">
      <alignment horizontal="center" vertical="center" wrapText="1"/>
    </xf>
    <xf numFmtId="14" fontId="3" fillId="9" borderId="20" xfId="1" applyNumberFormat="1" applyFont="1" applyFill="1" applyBorder="1" applyAlignment="1">
      <alignment horizontal="center" vertical="center" wrapText="1"/>
    </xf>
    <xf numFmtId="14" fontId="3" fillId="9" borderId="21" xfId="1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autoPageBreaks="0"/>
  </sheetPr>
  <dimension ref="A1:H860"/>
  <sheetViews>
    <sheetView zoomScale="87" zoomScaleNormal="87" workbookViewId="0">
      <selection activeCell="A871" sqref="A871"/>
    </sheetView>
  </sheetViews>
  <sheetFormatPr defaultColWidth="8.85546875" defaultRowHeight="11.25" outlineLevelRow="5"/>
  <cols>
    <col min="1" max="1" width="90.5703125" style="18" customWidth="1"/>
    <col min="2" max="2" width="17.5703125" style="18" customWidth="1"/>
    <col min="3" max="3" width="10.42578125" style="18" customWidth="1"/>
    <col min="4" max="4" width="16.5703125" style="18" customWidth="1"/>
    <col min="5" max="5" width="9.5703125" style="146" customWidth="1"/>
    <col min="6" max="6" width="25.140625" style="18" customWidth="1"/>
    <col min="7" max="7" width="15.85546875" style="18" customWidth="1"/>
    <col min="8" max="8" width="12.42578125" style="18" customWidth="1"/>
    <col min="9" max="16384" width="8.85546875" style="19"/>
  </cols>
  <sheetData>
    <row r="1" spans="1:6" customFormat="1" ht="37.5" customHeight="1">
      <c r="A1" s="154" t="s">
        <v>1249</v>
      </c>
      <c r="B1" s="154"/>
      <c r="C1" s="154"/>
      <c r="D1" s="154"/>
      <c r="E1" s="154"/>
    </row>
    <row r="2" spans="1:6" s="16" customFormat="1" ht="32.25" customHeight="1">
      <c r="A2" s="77" t="s">
        <v>1254</v>
      </c>
      <c r="B2" s="77" t="s">
        <v>1253</v>
      </c>
      <c r="C2" s="77" t="s">
        <v>1252</v>
      </c>
      <c r="D2" s="77" t="s">
        <v>1253</v>
      </c>
      <c r="E2" s="78" t="s">
        <v>1252</v>
      </c>
    </row>
    <row r="3" spans="1:6" s="16" customFormat="1" ht="16.350000000000001" customHeight="1" outlineLevel="2" collapsed="1">
      <c r="A3" s="20" t="s">
        <v>396</v>
      </c>
      <c r="B3" s="21"/>
      <c r="C3" s="21"/>
      <c r="D3" s="21"/>
      <c r="E3" s="141"/>
      <c r="F3" s="15"/>
    </row>
    <row r="4" spans="1:6" s="15" customFormat="1" ht="32.85" hidden="1" customHeight="1" outlineLevel="3">
      <c r="A4" s="17" t="s">
        <v>397</v>
      </c>
      <c r="B4" s="138">
        <f>936*(1.3/71)</f>
        <v>17.138028169014085</v>
      </c>
      <c r="C4" s="147" t="s">
        <v>1251</v>
      </c>
      <c r="D4" s="138">
        <v>2.1422535211267606</v>
      </c>
      <c r="E4" s="142" t="s">
        <v>141</v>
      </c>
    </row>
    <row r="5" spans="1:6" s="15" customFormat="1" ht="17.850000000000001" hidden="1" customHeight="1" outlineLevel="3">
      <c r="A5" s="17" t="s">
        <v>398</v>
      </c>
      <c r="B5" s="138">
        <f>936*(1.3/71)</f>
        <v>17.138028169014085</v>
      </c>
      <c r="C5" s="147" t="s">
        <v>1251</v>
      </c>
      <c r="D5" s="138">
        <v>2.1422535211267606</v>
      </c>
      <c r="E5" s="142" t="s">
        <v>141</v>
      </c>
    </row>
    <row r="6" spans="1:6" s="15" customFormat="1" ht="17.850000000000001" hidden="1" customHeight="1" outlineLevel="3">
      <c r="A6" s="17" t="s">
        <v>399</v>
      </c>
      <c r="B6" s="138">
        <f>936*(1.3/71)</f>
        <v>17.138028169014085</v>
      </c>
      <c r="C6" s="147" t="s">
        <v>1251</v>
      </c>
      <c r="D6" s="138">
        <v>2.1422535211267606</v>
      </c>
      <c r="E6" s="142" t="s">
        <v>141</v>
      </c>
    </row>
    <row r="7" spans="1:6" s="15" customFormat="1" ht="17.850000000000001" hidden="1" customHeight="1" outlineLevel="3">
      <c r="A7" s="17" t="s">
        <v>400</v>
      </c>
      <c r="B7" s="138">
        <f>936*(1.3/71)</f>
        <v>17.138028169014085</v>
      </c>
      <c r="C7" s="147" t="s">
        <v>1251</v>
      </c>
      <c r="D7" s="138">
        <v>2.1422535211267606</v>
      </c>
      <c r="E7" s="142" t="s">
        <v>141</v>
      </c>
    </row>
    <row r="8" spans="1:6" s="16" customFormat="1" ht="16.350000000000001" customHeight="1" outlineLevel="2" collapsed="1">
      <c r="A8" s="20" t="s">
        <v>395</v>
      </c>
      <c r="B8" s="21"/>
      <c r="C8" s="21"/>
      <c r="D8" s="21"/>
      <c r="E8" s="141"/>
    </row>
    <row r="9" spans="1:6" s="16" customFormat="1" ht="16.350000000000001" hidden="1" customHeight="1" outlineLevel="3" collapsed="1">
      <c r="A9" s="22" t="s">
        <v>401</v>
      </c>
      <c r="B9" s="21"/>
      <c r="C9" s="21"/>
      <c r="D9" s="21"/>
      <c r="E9" s="141"/>
    </row>
    <row r="10" spans="1:6" s="15" customFormat="1" ht="17.850000000000001" hidden="1" customHeight="1" outlineLevel="4">
      <c r="A10" s="70" t="s">
        <v>402</v>
      </c>
      <c r="B10" s="139">
        <f>1454.232*(1.3/71)</f>
        <v>26.626783098591552</v>
      </c>
      <c r="C10" s="148" t="s">
        <v>1251</v>
      </c>
      <c r="D10" s="139">
        <v>0.83214647887323945</v>
      </c>
      <c r="E10" s="144" t="s">
        <v>141</v>
      </c>
    </row>
    <row r="11" spans="1:6" s="15" customFormat="1" ht="17.850000000000001" hidden="1" customHeight="1" outlineLevel="4">
      <c r="A11" s="70" t="s">
        <v>403</v>
      </c>
      <c r="B11" s="139">
        <f>935.74*(1.3/71)</f>
        <v>17.133267605633804</v>
      </c>
      <c r="C11" s="148" t="s">
        <v>1251</v>
      </c>
      <c r="D11" s="139">
        <v>0.57102957746478866</v>
      </c>
      <c r="E11" s="144" t="s">
        <v>141</v>
      </c>
    </row>
    <row r="12" spans="1:6" s="15" customFormat="1" ht="17.850000000000001" hidden="1" customHeight="1" outlineLevel="4">
      <c r="A12" s="70" t="s">
        <v>404</v>
      </c>
      <c r="B12" s="139">
        <f>1012.44*(1.3/71)</f>
        <v>18.537633802816899</v>
      </c>
      <c r="C12" s="148" t="s">
        <v>1251</v>
      </c>
      <c r="D12" s="139">
        <v>1.2358422535211269</v>
      </c>
      <c r="E12" s="144" t="s">
        <v>141</v>
      </c>
    </row>
    <row r="13" spans="1:6" s="15" customFormat="1" ht="17.850000000000001" hidden="1" customHeight="1" outlineLevel="4">
      <c r="A13" s="70" t="s">
        <v>405</v>
      </c>
      <c r="B13" s="139">
        <f>1012.44*(1.3/71)</f>
        <v>18.537633802816899</v>
      </c>
      <c r="C13" s="148" t="s">
        <v>1251</v>
      </c>
      <c r="D13" s="139">
        <v>0.61792112676056343</v>
      </c>
      <c r="E13" s="144" t="s">
        <v>141</v>
      </c>
    </row>
    <row r="14" spans="1:6" s="15" customFormat="1" ht="17.850000000000001" hidden="1" customHeight="1" outlineLevel="4">
      <c r="A14" s="70" t="s">
        <v>406</v>
      </c>
      <c r="B14" s="139">
        <f>1012.44*(1.3/71)</f>
        <v>18.537633802816899</v>
      </c>
      <c r="C14" s="148" t="s">
        <v>1251</v>
      </c>
      <c r="D14" s="139">
        <v>0.61792112676056343</v>
      </c>
      <c r="E14" s="144" t="s">
        <v>141</v>
      </c>
    </row>
    <row r="15" spans="1:6" s="15" customFormat="1" ht="17.850000000000001" hidden="1" customHeight="1" outlineLevel="4">
      <c r="A15" s="70" t="s">
        <v>407</v>
      </c>
      <c r="B15" s="139">
        <f>843.7*(1.3/71)</f>
        <v>15.448028169014085</v>
      </c>
      <c r="C15" s="148" t="s">
        <v>1251</v>
      </c>
      <c r="D15" s="139">
        <v>1.9311225352112678</v>
      </c>
      <c r="E15" s="144" t="s">
        <v>141</v>
      </c>
    </row>
    <row r="16" spans="1:6" s="15" customFormat="1" ht="17.850000000000001" hidden="1" customHeight="1" outlineLevel="4">
      <c r="A16" s="70" t="s">
        <v>408</v>
      </c>
      <c r="B16" s="139">
        <f>786.942*(1.3/71)</f>
        <v>14.408797183098594</v>
      </c>
      <c r="C16" s="148" t="s">
        <v>1251</v>
      </c>
      <c r="D16" s="139">
        <v>0.72051126760563378</v>
      </c>
      <c r="E16" s="144" t="s">
        <v>141</v>
      </c>
    </row>
    <row r="17" spans="1:5" s="15" customFormat="1" ht="17.850000000000001" hidden="1" customHeight="1" outlineLevel="4">
      <c r="A17" s="70" t="s">
        <v>409</v>
      </c>
      <c r="B17" s="139">
        <f>882.05*(1.3/71)</f>
        <v>16.150211267605634</v>
      </c>
      <c r="C17" s="148" t="s">
        <v>1251</v>
      </c>
      <c r="D17" s="139">
        <v>1.0094774647887323</v>
      </c>
      <c r="E17" s="144" t="s">
        <v>141</v>
      </c>
    </row>
    <row r="18" spans="1:5" s="16" customFormat="1" ht="16.350000000000001" hidden="1" customHeight="1" outlineLevel="3" collapsed="1">
      <c r="A18" s="22" t="s">
        <v>410</v>
      </c>
      <c r="B18" s="21"/>
      <c r="C18" s="21"/>
      <c r="D18" s="21"/>
      <c r="E18" s="141"/>
    </row>
    <row r="19" spans="1:5" s="15" customFormat="1" ht="32.85" hidden="1" customHeight="1" outlineLevel="4">
      <c r="A19" s="70" t="s">
        <v>411</v>
      </c>
      <c r="B19" s="139">
        <f>2448.784*(1.3/71)</f>
        <v>44.836890140845071</v>
      </c>
      <c r="C19" s="148" t="s">
        <v>1251</v>
      </c>
      <c r="D19" s="139">
        <v>7.4728943661971838</v>
      </c>
      <c r="E19" s="144" t="s">
        <v>1250</v>
      </c>
    </row>
    <row r="20" spans="1:5" s="15" customFormat="1" ht="17.850000000000001" hidden="1" customHeight="1" outlineLevel="4">
      <c r="A20" s="70" t="s">
        <v>412</v>
      </c>
      <c r="B20" s="139">
        <f>2448.784*(1.3/71)</f>
        <v>44.836890140845071</v>
      </c>
      <c r="C20" s="148" t="s">
        <v>1251</v>
      </c>
      <c r="D20" s="139">
        <v>7.4728943661971838</v>
      </c>
      <c r="E20" s="144" t="s">
        <v>1250</v>
      </c>
    </row>
    <row r="21" spans="1:5" s="16" customFormat="1" ht="16.350000000000001" hidden="1" customHeight="1" outlineLevel="3" collapsed="1">
      <c r="A21" s="22" t="s">
        <v>79</v>
      </c>
      <c r="B21" s="21"/>
      <c r="C21" s="21"/>
      <c r="D21" s="21"/>
      <c r="E21" s="141"/>
    </row>
    <row r="22" spans="1:5" s="15" customFormat="1" ht="17.850000000000001" hidden="1" customHeight="1" outlineLevel="4">
      <c r="A22" s="70" t="s">
        <v>413</v>
      </c>
      <c r="B22" s="139">
        <f>174.733*(1.3/71)</f>
        <v>3.1993366197183097</v>
      </c>
      <c r="C22" s="148" t="s">
        <v>1250</v>
      </c>
      <c r="D22" s="139">
        <v>3.1993366197183102</v>
      </c>
      <c r="E22" s="144" t="s">
        <v>1250</v>
      </c>
    </row>
    <row r="23" spans="1:5" s="15" customFormat="1" ht="17.850000000000001" hidden="1" customHeight="1" outlineLevel="4">
      <c r="A23" s="70" t="s">
        <v>414</v>
      </c>
      <c r="B23" s="139">
        <f>190.45*(1.3/71)</f>
        <v>3.4871126760563382</v>
      </c>
      <c r="C23" s="148" t="s">
        <v>1250</v>
      </c>
      <c r="D23" s="139">
        <v>3.4871126760563387</v>
      </c>
      <c r="E23" s="144" t="s">
        <v>1250</v>
      </c>
    </row>
    <row r="24" spans="1:5" s="15" customFormat="1" ht="17.850000000000001" hidden="1" customHeight="1" outlineLevel="4">
      <c r="A24" s="70" t="s">
        <v>415</v>
      </c>
      <c r="B24" s="139">
        <f>545.545*(1.3/71)</f>
        <v>9.9888521126760548</v>
      </c>
      <c r="C24" s="148" t="s">
        <v>1251</v>
      </c>
      <c r="D24" s="139">
        <v>9.9888521126760565</v>
      </c>
      <c r="E24" s="144" t="s">
        <v>1251</v>
      </c>
    </row>
    <row r="25" spans="1:5" s="15" customFormat="1" ht="17.850000000000001" hidden="1" customHeight="1" outlineLevel="4">
      <c r="A25" s="70" t="s">
        <v>416</v>
      </c>
      <c r="B25" s="139">
        <f>545.545*(1.3/71)</f>
        <v>9.9888521126760548</v>
      </c>
      <c r="C25" s="148" t="s">
        <v>1251</v>
      </c>
      <c r="D25" s="139">
        <v>9.9888521126760565</v>
      </c>
      <c r="E25" s="144" t="s">
        <v>1251</v>
      </c>
    </row>
    <row r="26" spans="1:5" s="15" customFormat="1" ht="17.850000000000001" hidden="1" customHeight="1" outlineLevel="4">
      <c r="A26" s="70" t="s">
        <v>417</v>
      </c>
      <c r="B26" s="139">
        <f>595.621*(1.3/71)</f>
        <v>10.905736619718311</v>
      </c>
      <c r="C26" s="148" t="s">
        <v>1251</v>
      </c>
      <c r="D26" s="139">
        <v>10.905736619718311</v>
      </c>
      <c r="E26" s="144" t="s">
        <v>1251</v>
      </c>
    </row>
    <row r="27" spans="1:5" s="15" customFormat="1" ht="17.850000000000001" hidden="1" customHeight="1" outlineLevel="4">
      <c r="A27" s="70" t="s">
        <v>418</v>
      </c>
      <c r="B27" s="139">
        <f t="shared" ref="B27:B34" si="0">745.043*(1.3/71)</f>
        <v>13.641632394366198</v>
      </c>
      <c r="C27" s="148" t="s">
        <v>1251</v>
      </c>
      <c r="D27" s="139">
        <v>13.641632394366198</v>
      </c>
      <c r="E27" s="144" t="s">
        <v>1251</v>
      </c>
    </row>
    <row r="28" spans="1:5" s="15" customFormat="1" ht="32.85" hidden="1" customHeight="1" outlineLevel="4">
      <c r="A28" s="70" t="s">
        <v>419</v>
      </c>
      <c r="B28" s="139">
        <f t="shared" si="0"/>
        <v>13.641632394366198</v>
      </c>
      <c r="C28" s="148" t="s">
        <v>1251</v>
      </c>
      <c r="D28" s="139">
        <v>13.641632394366198</v>
      </c>
      <c r="E28" s="144" t="s">
        <v>1251</v>
      </c>
    </row>
    <row r="29" spans="1:5" s="15" customFormat="1" ht="32.85" hidden="1" customHeight="1" outlineLevel="4">
      <c r="A29" s="70" t="s">
        <v>420</v>
      </c>
      <c r="B29" s="139">
        <f t="shared" si="0"/>
        <v>13.641632394366198</v>
      </c>
      <c r="C29" s="148" t="s">
        <v>1251</v>
      </c>
      <c r="D29" s="139">
        <v>13.641632394366198</v>
      </c>
      <c r="E29" s="144" t="s">
        <v>1251</v>
      </c>
    </row>
    <row r="30" spans="1:5" s="15" customFormat="1" ht="17.850000000000001" hidden="1" customHeight="1" outlineLevel="4">
      <c r="A30" s="70" t="s">
        <v>421</v>
      </c>
      <c r="B30" s="139">
        <f t="shared" si="0"/>
        <v>13.641632394366198</v>
      </c>
      <c r="C30" s="148" t="s">
        <v>1251</v>
      </c>
      <c r="D30" s="139">
        <v>13.641632394366198</v>
      </c>
      <c r="E30" s="144" t="s">
        <v>1251</v>
      </c>
    </row>
    <row r="31" spans="1:5" s="15" customFormat="1" ht="17.850000000000001" hidden="1" customHeight="1" outlineLevel="4">
      <c r="A31" s="70" t="s">
        <v>422</v>
      </c>
      <c r="B31" s="139">
        <f t="shared" si="0"/>
        <v>13.641632394366198</v>
      </c>
      <c r="C31" s="148" t="s">
        <v>1251</v>
      </c>
      <c r="D31" s="139">
        <v>13.641632394366198</v>
      </c>
      <c r="E31" s="144" t="s">
        <v>1251</v>
      </c>
    </row>
    <row r="32" spans="1:5" s="15" customFormat="1" ht="17.850000000000001" hidden="1" customHeight="1" outlineLevel="4">
      <c r="A32" s="70" t="s">
        <v>423</v>
      </c>
      <c r="B32" s="139">
        <f t="shared" si="0"/>
        <v>13.641632394366198</v>
      </c>
      <c r="C32" s="148" t="s">
        <v>1251</v>
      </c>
      <c r="D32" s="139">
        <v>13.641632394366198</v>
      </c>
      <c r="E32" s="144" t="s">
        <v>1251</v>
      </c>
    </row>
    <row r="33" spans="1:5" s="15" customFormat="1" ht="17.850000000000001" hidden="1" customHeight="1" outlineLevel="4">
      <c r="A33" s="70" t="s">
        <v>424</v>
      </c>
      <c r="B33" s="139">
        <f t="shared" si="0"/>
        <v>13.641632394366198</v>
      </c>
      <c r="C33" s="148" t="s">
        <v>1251</v>
      </c>
      <c r="D33" s="139">
        <v>13.641632394366198</v>
      </c>
      <c r="E33" s="144" t="s">
        <v>1251</v>
      </c>
    </row>
    <row r="34" spans="1:5" s="15" customFormat="1" ht="17.850000000000001" hidden="1" customHeight="1" outlineLevel="4">
      <c r="A34" s="70" t="s">
        <v>425</v>
      </c>
      <c r="B34" s="139">
        <f t="shared" si="0"/>
        <v>13.641632394366198</v>
      </c>
      <c r="C34" s="148" t="s">
        <v>1251</v>
      </c>
      <c r="D34" s="139">
        <v>13.641632394366198</v>
      </c>
      <c r="E34" s="144" t="s">
        <v>1251</v>
      </c>
    </row>
    <row r="35" spans="1:5" s="15" customFormat="1" ht="17.850000000000001" hidden="1" customHeight="1" outlineLevel="4">
      <c r="A35" s="70" t="s">
        <v>426</v>
      </c>
      <c r="B35" s="139">
        <f t="shared" ref="B35:B40" si="1">525.629*(1.3/71)</f>
        <v>9.6241929577464784</v>
      </c>
      <c r="C35" s="148" t="s">
        <v>1251</v>
      </c>
      <c r="D35" s="139">
        <v>9.6241929577464802</v>
      </c>
      <c r="E35" s="144" t="s">
        <v>1251</v>
      </c>
    </row>
    <row r="36" spans="1:5" s="15" customFormat="1" ht="17.850000000000001" hidden="1" customHeight="1" outlineLevel="4">
      <c r="A36" s="70" t="s">
        <v>427</v>
      </c>
      <c r="B36" s="139">
        <f t="shared" si="1"/>
        <v>9.6241929577464784</v>
      </c>
      <c r="C36" s="148" t="s">
        <v>1251</v>
      </c>
      <c r="D36" s="139">
        <v>9.6241929577464802</v>
      </c>
      <c r="E36" s="144" t="s">
        <v>1251</v>
      </c>
    </row>
    <row r="37" spans="1:5" s="15" customFormat="1" ht="17.850000000000001" hidden="1" customHeight="1" outlineLevel="4">
      <c r="A37" s="70" t="s">
        <v>428</v>
      </c>
      <c r="B37" s="139">
        <f t="shared" si="1"/>
        <v>9.6241929577464784</v>
      </c>
      <c r="C37" s="148" t="s">
        <v>1251</v>
      </c>
      <c r="D37" s="139">
        <v>9.6241929577464802</v>
      </c>
      <c r="E37" s="144" t="s">
        <v>1251</v>
      </c>
    </row>
    <row r="38" spans="1:5" s="15" customFormat="1" ht="32.85" hidden="1" customHeight="1" outlineLevel="4">
      <c r="A38" s="70" t="s">
        <v>429</v>
      </c>
      <c r="B38" s="139">
        <f t="shared" si="1"/>
        <v>9.6241929577464784</v>
      </c>
      <c r="C38" s="148" t="s">
        <v>1251</v>
      </c>
      <c r="D38" s="139">
        <v>9.6241929577464802</v>
      </c>
      <c r="E38" s="144" t="s">
        <v>1251</v>
      </c>
    </row>
    <row r="39" spans="1:5" s="15" customFormat="1" ht="32.85" hidden="1" customHeight="1" outlineLevel="4">
      <c r="A39" s="70" t="s">
        <v>430</v>
      </c>
      <c r="B39" s="139">
        <f t="shared" si="1"/>
        <v>9.6241929577464784</v>
      </c>
      <c r="C39" s="148" t="s">
        <v>1251</v>
      </c>
      <c r="D39" s="139">
        <v>9.6241929577464802</v>
      </c>
      <c r="E39" s="144" t="s">
        <v>1251</v>
      </c>
    </row>
    <row r="40" spans="1:5" s="15" customFormat="1" ht="32.85" hidden="1" customHeight="1" outlineLevel="4">
      <c r="A40" s="70" t="s">
        <v>431</v>
      </c>
      <c r="B40" s="139">
        <f t="shared" si="1"/>
        <v>9.6241929577464784</v>
      </c>
      <c r="C40" s="148" t="s">
        <v>1251</v>
      </c>
      <c r="D40" s="139">
        <v>9.6241929577464802</v>
      </c>
      <c r="E40" s="144" t="s">
        <v>1251</v>
      </c>
    </row>
    <row r="41" spans="1:5" s="15" customFormat="1" ht="32.85" hidden="1" customHeight="1" outlineLevel="4">
      <c r="A41" s="70" t="s">
        <v>432</v>
      </c>
      <c r="B41" s="139">
        <f>420.524*(1.3/71)</f>
        <v>7.6997352112676065</v>
      </c>
      <c r="C41" s="148" t="s">
        <v>1251</v>
      </c>
      <c r="D41" s="139">
        <v>7.6997352112676074</v>
      </c>
      <c r="E41" s="144" t="s">
        <v>1251</v>
      </c>
    </row>
    <row r="42" spans="1:5" s="15" customFormat="1" ht="32.85" hidden="1" customHeight="1" outlineLevel="4">
      <c r="A42" s="70" t="s">
        <v>433</v>
      </c>
      <c r="B42" s="139">
        <f>420.524*(1.3/71)</f>
        <v>7.6997352112676065</v>
      </c>
      <c r="C42" s="148" t="s">
        <v>1251</v>
      </c>
      <c r="D42" s="139">
        <v>7.6997352112676074</v>
      </c>
      <c r="E42" s="144" t="s">
        <v>1251</v>
      </c>
    </row>
    <row r="43" spans="1:5" s="15" customFormat="1" ht="32.85" hidden="1" customHeight="1" outlineLevel="4">
      <c r="A43" s="70" t="s">
        <v>434</v>
      </c>
      <c r="B43" s="139">
        <f>420.524*(1.3/71)</f>
        <v>7.6997352112676065</v>
      </c>
      <c r="C43" s="148" t="s">
        <v>1251</v>
      </c>
      <c r="D43" s="139">
        <v>7.6997352112676074</v>
      </c>
      <c r="E43" s="144" t="s">
        <v>1251</v>
      </c>
    </row>
    <row r="44" spans="1:5" s="15" customFormat="1" ht="32.85" hidden="1" customHeight="1" outlineLevel="4">
      <c r="A44" s="70" t="s">
        <v>435</v>
      </c>
      <c r="B44" s="139">
        <f>420.524*(1.3/71)</f>
        <v>7.6997352112676065</v>
      </c>
      <c r="C44" s="148" t="s">
        <v>1251</v>
      </c>
      <c r="D44" s="139">
        <v>7.6997352112676074</v>
      </c>
      <c r="E44" s="144" t="s">
        <v>1251</v>
      </c>
    </row>
    <row r="45" spans="1:5" s="15" customFormat="1" ht="32.85" hidden="1" customHeight="1" outlineLevel="4">
      <c r="A45" s="70" t="s">
        <v>436</v>
      </c>
      <c r="B45" s="139">
        <f>400.595*(1.3/71)</f>
        <v>7.3348380281690133</v>
      </c>
      <c r="C45" s="148" t="s">
        <v>1251</v>
      </c>
      <c r="D45" s="139">
        <v>7.3348380281690142</v>
      </c>
      <c r="E45" s="144" t="s">
        <v>1251</v>
      </c>
    </row>
    <row r="46" spans="1:5" s="15" customFormat="1" ht="17.850000000000001" hidden="1" customHeight="1" outlineLevel="4">
      <c r="A46" s="70" t="s">
        <v>437</v>
      </c>
      <c r="B46" s="139">
        <f>400.595*(1.3/71)</f>
        <v>7.3348380281690133</v>
      </c>
      <c r="C46" s="148" t="s">
        <v>1251</v>
      </c>
      <c r="D46" s="139">
        <v>7.3348380281690142</v>
      </c>
      <c r="E46" s="144" t="s">
        <v>1251</v>
      </c>
    </row>
    <row r="47" spans="1:5" s="15" customFormat="1" ht="32.85" hidden="1" customHeight="1" outlineLevel="4">
      <c r="A47" s="70" t="s">
        <v>438</v>
      </c>
      <c r="B47" s="139">
        <f>400.595*(1.3/71)</f>
        <v>7.3348380281690133</v>
      </c>
      <c r="C47" s="148" t="s">
        <v>1251</v>
      </c>
      <c r="D47" s="139">
        <v>7.3348380281690142</v>
      </c>
      <c r="E47" s="144" t="s">
        <v>1251</v>
      </c>
    </row>
    <row r="48" spans="1:5" s="15" customFormat="1" ht="32.85" hidden="1" customHeight="1" outlineLevel="4">
      <c r="A48" s="70" t="s">
        <v>439</v>
      </c>
      <c r="B48" s="139">
        <f>400.595*(1.3/71)</f>
        <v>7.3348380281690133</v>
      </c>
      <c r="C48" s="148" t="s">
        <v>1251</v>
      </c>
      <c r="D48" s="139">
        <v>7.3348380281690142</v>
      </c>
      <c r="E48" s="144" t="s">
        <v>1251</v>
      </c>
    </row>
    <row r="49" spans="1:5" s="15" customFormat="1" ht="32.85" hidden="1" customHeight="1" outlineLevel="4">
      <c r="A49" s="70" t="s">
        <v>440</v>
      </c>
      <c r="B49" s="139">
        <f t="shared" ref="B49:B54" si="2">580.099*(1.3/71)</f>
        <v>10.621530985915493</v>
      </c>
      <c r="C49" s="148" t="s">
        <v>1251</v>
      </c>
      <c r="D49" s="139">
        <v>0.70813380281690153</v>
      </c>
      <c r="E49" s="144" t="s">
        <v>141</v>
      </c>
    </row>
    <row r="50" spans="1:5" s="15" customFormat="1" ht="17.850000000000001" hidden="1" customHeight="1" outlineLevel="4">
      <c r="A50" s="70" t="s">
        <v>441</v>
      </c>
      <c r="B50" s="139">
        <f t="shared" si="2"/>
        <v>10.621530985915493</v>
      </c>
      <c r="C50" s="148" t="s">
        <v>1251</v>
      </c>
      <c r="D50" s="139">
        <v>0.70813380281690153</v>
      </c>
      <c r="E50" s="144" t="s">
        <v>141</v>
      </c>
    </row>
    <row r="51" spans="1:5" s="15" customFormat="1" ht="17.850000000000001" hidden="1" customHeight="1" outlineLevel="4">
      <c r="A51" s="70" t="s">
        <v>442</v>
      </c>
      <c r="B51" s="139">
        <f t="shared" si="2"/>
        <v>10.621530985915493</v>
      </c>
      <c r="C51" s="148" t="s">
        <v>1251</v>
      </c>
      <c r="D51" s="139">
        <v>0.70813380281690153</v>
      </c>
      <c r="E51" s="144" t="s">
        <v>141</v>
      </c>
    </row>
    <row r="52" spans="1:5" s="15" customFormat="1" ht="17.850000000000001" hidden="1" customHeight="1" outlineLevel="4">
      <c r="A52" s="70" t="s">
        <v>443</v>
      </c>
      <c r="B52" s="139">
        <f t="shared" si="2"/>
        <v>10.621530985915493</v>
      </c>
      <c r="C52" s="148" t="s">
        <v>1251</v>
      </c>
      <c r="D52" s="139">
        <v>0.70813380281690153</v>
      </c>
      <c r="E52" s="144" t="s">
        <v>141</v>
      </c>
    </row>
    <row r="53" spans="1:5" s="15" customFormat="1" ht="17.850000000000001" hidden="1" customHeight="1" outlineLevel="4">
      <c r="A53" s="70" t="s">
        <v>444</v>
      </c>
      <c r="B53" s="139">
        <f t="shared" si="2"/>
        <v>10.621530985915493</v>
      </c>
      <c r="C53" s="148" t="s">
        <v>1251</v>
      </c>
      <c r="D53" s="139">
        <v>0.70813380281690153</v>
      </c>
      <c r="E53" s="144" t="s">
        <v>141</v>
      </c>
    </row>
    <row r="54" spans="1:5" s="15" customFormat="1" ht="17.850000000000001" hidden="1" customHeight="1" outlineLevel="4">
      <c r="A54" s="70" t="s">
        <v>445</v>
      </c>
      <c r="B54" s="139">
        <f t="shared" si="2"/>
        <v>10.621530985915493</v>
      </c>
      <c r="C54" s="148" t="s">
        <v>1251</v>
      </c>
      <c r="D54" s="139">
        <v>0.70813380281690153</v>
      </c>
      <c r="E54" s="144" t="s">
        <v>141</v>
      </c>
    </row>
    <row r="55" spans="1:5" s="15" customFormat="1" ht="17.850000000000001" hidden="1" customHeight="1" outlineLevel="4">
      <c r="A55" s="70" t="s">
        <v>446</v>
      </c>
      <c r="B55" s="139">
        <f>480.727*(1.3/71)</f>
        <v>8.8020436619718314</v>
      </c>
      <c r="C55" s="148" t="s">
        <v>1251</v>
      </c>
      <c r="D55" s="139">
        <v>8.8020436619718314</v>
      </c>
      <c r="E55" s="144" t="s">
        <v>1251</v>
      </c>
    </row>
    <row r="56" spans="1:5" s="15" customFormat="1" ht="17.850000000000001" hidden="1" customHeight="1" outlineLevel="4">
      <c r="A56" s="70" t="s">
        <v>447</v>
      </c>
      <c r="B56" s="139">
        <f>480.727*(1.3/71)</f>
        <v>8.8020436619718314</v>
      </c>
      <c r="C56" s="148" t="s">
        <v>1251</v>
      </c>
      <c r="D56" s="139">
        <v>8.8020436619718314</v>
      </c>
      <c r="E56" s="144" t="s">
        <v>1251</v>
      </c>
    </row>
    <row r="57" spans="1:5" s="15" customFormat="1" ht="17.850000000000001" hidden="1" customHeight="1" outlineLevel="4">
      <c r="A57" s="70" t="s">
        <v>448</v>
      </c>
      <c r="B57" s="139">
        <f>480.727*(1.3/71)</f>
        <v>8.8020436619718314</v>
      </c>
      <c r="C57" s="148" t="s">
        <v>1251</v>
      </c>
      <c r="D57" s="139">
        <v>8.8020436619718314</v>
      </c>
      <c r="E57" s="144" t="s">
        <v>1251</v>
      </c>
    </row>
    <row r="58" spans="1:5" s="15" customFormat="1" ht="32.85" hidden="1" customHeight="1" outlineLevel="4">
      <c r="A58" s="70" t="s">
        <v>449</v>
      </c>
      <c r="B58" s="139">
        <f>316.316*(1.3/71)</f>
        <v>5.7917014084507041</v>
      </c>
      <c r="C58" s="148" t="s">
        <v>1250</v>
      </c>
      <c r="D58" s="139">
        <v>5.7917014084507041</v>
      </c>
      <c r="E58" s="144" t="s">
        <v>1250</v>
      </c>
    </row>
    <row r="59" spans="1:5" s="15" customFormat="1" ht="32.85" hidden="1" customHeight="1" outlineLevel="4">
      <c r="A59" s="70" t="s">
        <v>450</v>
      </c>
      <c r="B59" s="139">
        <f>316.316*(1.3/71)</f>
        <v>5.7917014084507041</v>
      </c>
      <c r="C59" s="148" t="s">
        <v>1250</v>
      </c>
      <c r="D59" s="139">
        <v>5.7917014084507041</v>
      </c>
      <c r="E59" s="144" t="s">
        <v>1250</v>
      </c>
    </row>
    <row r="60" spans="1:5" s="15" customFormat="1" ht="17.850000000000001" hidden="1" customHeight="1" outlineLevel="4">
      <c r="A60" s="70" t="s">
        <v>451</v>
      </c>
      <c r="B60" s="139">
        <f>745.03*(1.3/71)</f>
        <v>13.641394366197185</v>
      </c>
      <c r="C60" s="148" t="s">
        <v>1251</v>
      </c>
      <c r="D60" s="139">
        <v>13.641394366197185</v>
      </c>
      <c r="E60" s="144" t="s">
        <v>1251</v>
      </c>
    </row>
    <row r="61" spans="1:5" s="15" customFormat="1" ht="32.85" hidden="1" customHeight="1" outlineLevel="4">
      <c r="A61" s="70" t="s">
        <v>452</v>
      </c>
      <c r="B61" s="139">
        <f>745.03*(1.3/71)</f>
        <v>13.641394366197185</v>
      </c>
      <c r="C61" s="148" t="s">
        <v>1251</v>
      </c>
      <c r="D61" s="139">
        <v>13.641394366197185</v>
      </c>
      <c r="E61" s="144" t="s">
        <v>1251</v>
      </c>
    </row>
    <row r="62" spans="1:5" s="15" customFormat="1" ht="17.850000000000001" hidden="1" customHeight="1" outlineLevel="4">
      <c r="A62" s="70" t="s">
        <v>453</v>
      </c>
      <c r="B62" s="139">
        <f>745.03*(1.3/71)</f>
        <v>13.641394366197185</v>
      </c>
      <c r="C62" s="148" t="s">
        <v>1251</v>
      </c>
      <c r="D62" s="139">
        <v>13.641394366197185</v>
      </c>
      <c r="E62" s="144" t="s">
        <v>1251</v>
      </c>
    </row>
    <row r="63" spans="1:5" s="16" customFormat="1" ht="16.350000000000001" hidden="1" customHeight="1" outlineLevel="3" collapsed="1">
      <c r="A63" s="22" t="s">
        <v>454</v>
      </c>
      <c r="B63" s="21"/>
      <c r="C63" s="21"/>
      <c r="D63" s="21"/>
      <c r="E63" s="141"/>
    </row>
    <row r="64" spans="1:5" s="15" customFormat="1" ht="17.850000000000001" hidden="1" customHeight="1" outlineLevel="4">
      <c r="A64" s="70" t="s">
        <v>455</v>
      </c>
      <c r="B64" s="139">
        <f t="shared" ref="B64:B72" si="3">928.096*(1.3/71)</f>
        <v>16.99330704225352</v>
      </c>
      <c r="C64" s="148" t="s">
        <v>1251</v>
      </c>
      <c r="D64" s="139">
        <v>0.84976056338028172</v>
      </c>
      <c r="E64" s="144" t="s">
        <v>141</v>
      </c>
    </row>
    <row r="65" spans="1:5" s="15" customFormat="1" ht="32.85" hidden="1" customHeight="1" outlineLevel="4">
      <c r="A65" s="70" t="s">
        <v>456</v>
      </c>
      <c r="B65" s="139">
        <f t="shared" si="3"/>
        <v>16.99330704225352</v>
      </c>
      <c r="C65" s="148" t="s">
        <v>1251</v>
      </c>
      <c r="D65" s="139">
        <v>0.84976056338028172</v>
      </c>
      <c r="E65" s="144" t="s">
        <v>141</v>
      </c>
    </row>
    <row r="66" spans="1:5" s="15" customFormat="1" ht="32.85" hidden="1" customHeight="1" outlineLevel="4">
      <c r="A66" s="70" t="s">
        <v>457</v>
      </c>
      <c r="B66" s="139">
        <f t="shared" si="3"/>
        <v>16.99330704225352</v>
      </c>
      <c r="C66" s="148" t="s">
        <v>1251</v>
      </c>
      <c r="D66" s="139">
        <v>0.84976056338028172</v>
      </c>
      <c r="E66" s="144" t="s">
        <v>141</v>
      </c>
    </row>
    <row r="67" spans="1:5" s="15" customFormat="1" ht="17.850000000000001" hidden="1" customHeight="1" outlineLevel="4">
      <c r="A67" s="70" t="s">
        <v>458</v>
      </c>
      <c r="B67" s="139">
        <f t="shared" si="3"/>
        <v>16.99330704225352</v>
      </c>
      <c r="C67" s="148" t="s">
        <v>1251</v>
      </c>
      <c r="D67" s="139">
        <v>0.84976056338028172</v>
      </c>
      <c r="E67" s="144" t="s">
        <v>141</v>
      </c>
    </row>
    <row r="68" spans="1:5" s="15" customFormat="1" ht="17.850000000000001" hidden="1" customHeight="1" outlineLevel="4">
      <c r="A68" s="70" t="s">
        <v>459</v>
      </c>
      <c r="B68" s="139">
        <f t="shared" si="3"/>
        <v>16.99330704225352</v>
      </c>
      <c r="C68" s="148" t="s">
        <v>1251</v>
      </c>
      <c r="D68" s="139">
        <v>0.84976056338028172</v>
      </c>
      <c r="E68" s="144" t="s">
        <v>141</v>
      </c>
    </row>
    <row r="69" spans="1:5" s="15" customFormat="1" ht="17.850000000000001" hidden="1" customHeight="1" outlineLevel="4">
      <c r="A69" s="70" t="s">
        <v>460</v>
      </c>
      <c r="B69" s="139">
        <f t="shared" si="3"/>
        <v>16.99330704225352</v>
      </c>
      <c r="C69" s="148" t="s">
        <v>1251</v>
      </c>
      <c r="D69" s="139">
        <v>0.84976056338028172</v>
      </c>
      <c r="E69" s="144" t="s">
        <v>141</v>
      </c>
    </row>
    <row r="70" spans="1:5" s="15" customFormat="1" ht="32.85" hidden="1" customHeight="1" outlineLevel="4">
      <c r="A70" s="70" t="s">
        <v>461</v>
      </c>
      <c r="B70" s="139">
        <f t="shared" si="3"/>
        <v>16.99330704225352</v>
      </c>
      <c r="C70" s="148" t="s">
        <v>1251</v>
      </c>
      <c r="D70" s="139">
        <v>0.84976056338028172</v>
      </c>
      <c r="E70" s="144" t="s">
        <v>141</v>
      </c>
    </row>
    <row r="71" spans="1:5" s="15" customFormat="1" ht="32.85" hidden="1" customHeight="1" outlineLevel="4">
      <c r="A71" s="70" t="s">
        <v>462</v>
      </c>
      <c r="B71" s="139">
        <f t="shared" si="3"/>
        <v>16.99330704225352</v>
      </c>
      <c r="C71" s="148" t="s">
        <v>1251</v>
      </c>
      <c r="D71" s="139">
        <v>0.84976056338028172</v>
      </c>
      <c r="E71" s="144" t="s">
        <v>141</v>
      </c>
    </row>
    <row r="72" spans="1:5" s="15" customFormat="1" ht="17.850000000000001" hidden="1" customHeight="1" outlineLevel="4">
      <c r="A72" s="70" t="s">
        <v>463</v>
      </c>
      <c r="B72" s="139">
        <f t="shared" si="3"/>
        <v>16.99330704225352</v>
      </c>
      <c r="C72" s="148" t="s">
        <v>1251</v>
      </c>
      <c r="D72" s="139">
        <v>0.84976056338028172</v>
      </c>
      <c r="E72" s="144" t="s">
        <v>141</v>
      </c>
    </row>
    <row r="73" spans="1:5" s="15" customFormat="1" ht="17.850000000000001" hidden="1" customHeight="1" outlineLevel="4">
      <c r="A73" s="70" t="s">
        <v>464</v>
      </c>
      <c r="B73" s="139">
        <f>1963.598*(1.3/71)</f>
        <v>35.95320281690141</v>
      </c>
      <c r="C73" s="148" t="s">
        <v>1251</v>
      </c>
      <c r="D73" s="139">
        <v>1.7975887323943665</v>
      </c>
      <c r="E73" s="144" t="s">
        <v>141</v>
      </c>
    </row>
    <row r="74" spans="1:5" s="15" customFormat="1" ht="17.850000000000001" hidden="1" customHeight="1" outlineLevel="4">
      <c r="A74" s="70" t="s">
        <v>465</v>
      </c>
      <c r="B74" s="139">
        <f>2030.327*(1.3/71)</f>
        <v>37.175001408450704</v>
      </c>
      <c r="C74" s="148" t="s">
        <v>1251</v>
      </c>
      <c r="D74" s="139">
        <v>1.858761971830986</v>
      </c>
      <c r="E74" s="144" t="s">
        <v>141</v>
      </c>
    </row>
    <row r="75" spans="1:5" s="15" customFormat="1" ht="17.850000000000001" hidden="1" customHeight="1" outlineLevel="4">
      <c r="A75" s="70" t="s">
        <v>466</v>
      </c>
      <c r="B75" s="139">
        <f>2208.297*(1.3/71)</f>
        <v>40.43360704225352</v>
      </c>
      <c r="C75" s="148" t="s">
        <v>1251</v>
      </c>
      <c r="D75" s="139">
        <v>2.0215732394366199</v>
      </c>
      <c r="E75" s="144" t="s">
        <v>141</v>
      </c>
    </row>
    <row r="76" spans="1:5" s="15" customFormat="1" ht="17.850000000000001" hidden="1" customHeight="1" outlineLevel="4">
      <c r="A76" s="70" t="s">
        <v>467</v>
      </c>
      <c r="B76" s="139">
        <f>2747.693*(1.3/71)</f>
        <v>50.309871830985919</v>
      </c>
      <c r="C76" s="148" t="s">
        <v>1251</v>
      </c>
      <c r="D76" s="139">
        <v>2.5154816901408452</v>
      </c>
      <c r="E76" s="144" t="s">
        <v>141</v>
      </c>
    </row>
    <row r="77" spans="1:5" s="15" customFormat="1" ht="17.850000000000001" hidden="1" customHeight="1" outlineLevel="4">
      <c r="A77" s="70" t="s">
        <v>468</v>
      </c>
      <c r="B77" s="139">
        <f>2747.693*(1.3/71)</f>
        <v>50.309871830985919</v>
      </c>
      <c r="C77" s="148" t="s">
        <v>1251</v>
      </c>
      <c r="D77" s="139">
        <v>2.5154816901408452</v>
      </c>
      <c r="E77" s="144" t="s">
        <v>141</v>
      </c>
    </row>
    <row r="78" spans="1:5" s="15" customFormat="1" ht="17.850000000000001" hidden="1" customHeight="1" outlineLevel="4">
      <c r="A78" s="70" t="s">
        <v>469</v>
      </c>
      <c r="B78" s="139">
        <f>2623.361*(1.3/71)</f>
        <v>48.033370422535214</v>
      </c>
      <c r="C78" s="148" t="s">
        <v>1251</v>
      </c>
      <c r="D78" s="139">
        <v>3.2021929577464792</v>
      </c>
      <c r="E78" s="144" t="s">
        <v>141</v>
      </c>
    </row>
    <row r="79" spans="1:5" s="16" customFormat="1" ht="16.350000000000001" hidden="1" customHeight="1" outlineLevel="3" collapsed="1">
      <c r="A79" s="22" t="s">
        <v>470</v>
      </c>
      <c r="B79" s="21"/>
      <c r="C79" s="21"/>
      <c r="D79" s="21"/>
      <c r="E79" s="141"/>
    </row>
    <row r="80" spans="1:5" s="15" customFormat="1" ht="17.850000000000001" hidden="1" customHeight="1" outlineLevel="4">
      <c r="A80" s="70" t="s">
        <v>471</v>
      </c>
      <c r="B80" s="139">
        <f>902.46*(1.3/71)</f>
        <v>16.523915492957748</v>
      </c>
      <c r="C80" s="148" t="s">
        <v>1251</v>
      </c>
      <c r="D80" s="139">
        <v>1.8359112676056335</v>
      </c>
      <c r="E80" s="144" t="s">
        <v>141</v>
      </c>
    </row>
    <row r="81" spans="1:5" s="15" customFormat="1" ht="17.850000000000001" hidden="1" customHeight="1" outlineLevel="4">
      <c r="A81" s="70" t="s">
        <v>472</v>
      </c>
      <c r="B81" s="139">
        <f>713.271*(1.3/71)</f>
        <v>13.059891549295774</v>
      </c>
      <c r="C81" s="148" t="s">
        <v>1251</v>
      </c>
      <c r="D81" s="139">
        <v>1.4510197183098592</v>
      </c>
      <c r="E81" s="144" t="s">
        <v>141</v>
      </c>
    </row>
    <row r="82" spans="1:5" s="15" customFormat="1" ht="17.850000000000001" hidden="1" customHeight="1" outlineLevel="4">
      <c r="A82" s="70" t="s">
        <v>473</v>
      </c>
      <c r="B82" s="139">
        <f>713.271*(1.3/71)</f>
        <v>13.059891549295774</v>
      </c>
      <c r="C82" s="148" t="s">
        <v>1251</v>
      </c>
      <c r="D82" s="139">
        <v>1.4510197183098592</v>
      </c>
      <c r="E82" s="144" t="s">
        <v>141</v>
      </c>
    </row>
    <row r="83" spans="1:5" s="15" customFormat="1" ht="17.850000000000001" hidden="1" customHeight="1" outlineLevel="4">
      <c r="A83" s="70" t="s">
        <v>474</v>
      </c>
      <c r="B83" s="139">
        <f>713.271*(1.3/71)</f>
        <v>13.059891549295774</v>
      </c>
      <c r="C83" s="148" t="s">
        <v>1251</v>
      </c>
      <c r="D83" s="139">
        <v>1.4510197183098592</v>
      </c>
      <c r="E83" s="144" t="s">
        <v>141</v>
      </c>
    </row>
    <row r="84" spans="1:5" s="15" customFormat="1" ht="17.850000000000001" hidden="1" customHeight="1" outlineLevel="4">
      <c r="A84" s="70" t="s">
        <v>475</v>
      </c>
      <c r="B84" s="139">
        <f>713.271*(1.3/71)</f>
        <v>13.059891549295774</v>
      </c>
      <c r="C84" s="148" t="s">
        <v>1251</v>
      </c>
      <c r="D84" s="139">
        <v>1.4510197183098592</v>
      </c>
      <c r="E84" s="144" t="s">
        <v>141</v>
      </c>
    </row>
    <row r="85" spans="1:5" s="15" customFormat="1" ht="17.850000000000001" hidden="1" customHeight="1" outlineLevel="4">
      <c r="A85" s="70" t="s">
        <v>476</v>
      </c>
      <c r="B85" s="139">
        <f>713.271*(1.3/71)</f>
        <v>13.059891549295774</v>
      </c>
      <c r="C85" s="148" t="s">
        <v>1251</v>
      </c>
      <c r="D85" s="139">
        <v>1.4510197183098592</v>
      </c>
      <c r="E85" s="144" t="s">
        <v>141</v>
      </c>
    </row>
    <row r="86" spans="1:5" s="15" customFormat="1" ht="17.850000000000001" hidden="1" customHeight="1" outlineLevel="4">
      <c r="A86" s="70" t="s">
        <v>477</v>
      </c>
      <c r="B86" s="139">
        <f>937.469*(1.3/71)</f>
        <v>17.164925352112675</v>
      </c>
      <c r="C86" s="148" t="s">
        <v>1251</v>
      </c>
      <c r="D86" s="139">
        <v>1.9073197183098591</v>
      </c>
      <c r="E86" s="144" t="s">
        <v>141</v>
      </c>
    </row>
    <row r="87" spans="1:5" s="15" customFormat="1" ht="17.850000000000001" hidden="1" customHeight="1" outlineLevel="4">
      <c r="A87" s="70" t="s">
        <v>478</v>
      </c>
      <c r="B87" s="139">
        <f>832.676*(1.3/71)</f>
        <v>15.246180281690142</v>
      </c>
      <c r="C87" s="148" t="s">
        <v>1251</v>
      </c>
      <c r="D87" s="139">
        <v>1.6940464788732397</v>
      </c>
      <c r="E87" s="144" t="s">
        <v>141</v>
      </c>
    </row>
    <row r="88" spans="1:5" s="15" customFormat="1" ht="17.850000000000001" hidden="1" customHeight="1" outlineLevel="4">
      <c r="A88" s="70" t="s">
        <v>479</v>
      </c>
      <c r="B88" s="139">
        <f>755.651*(1.3/71)</f>
        <v>13.835863380281689</v>
      </c>
      <c r="C88" s="148" t="s">
        <v>1251</v>
      </c>
      <c r="D88" s="139">
        <v>1.5374239436619721</v>
      </c>
      <c r="E88" s="144" t="s">
        <v>141</v>
      </c>
    </row>
    <row r="89" spans="1:5" s="15" customFormat="1" ht="17.850000000000001" hidden="1" customHeight="1" outlineLevel="4">
      <c r="A89" s="70" t="s">
        <v>480</v>
      </c>
      <c r="B89" s="139">
        <f>871.013*(1.3/71)</f>
        <v>15.948125352112676</v>
      </c>
      <c r="C89" s="148" t="s">
        <v>1251</v>
      </c>
      <c r="D89" s="139">
        <v>1.7721197183098596</v>
      </c>
      <c r="E89" s="144" t="s">
        <v>141</v>
      </c>
    </row>
    <row r="90" spans="1:5" s="16" customFormat="1" ht="16.350000000000001" hidden="1" customHeight="1" outlineLevel="3" collapsed="1">
      <c r="A90" s="22" t="s">
        <v>481</v>
      </c>
      <c r="B90" s="21"/>
      <c r="C90" s="21"/>
      <c r="D90" s="21"/>
      <c r="E90" s="141"/>
    </row>
    <row r="91" spans="1:5" s="15" customFormat="1" ht="17.850000000000001" hidden="1" customHeight="1" outlineLevel="4">
      <c r="A91" s="70" t="s">
        <v>482</v>
      </c>
      <c r="B91" s="139">
        <f>622.219*(1.3/71)</f>
        <v>11.392742253521128</v>
      </c>
      <c r="C91" s="148" t="s">
        <v>1251</v>
      </c>
      <c r="D91" s="139">
        <v>0.71194225352112683</v>
      </c>
      <c r="E91" s="144" t="s">
        <v>141</v>
      </c>
    </row>
    <row r="92" spans="1:5" s="15" customFormat="1" ht="17.850000000000001" hidden="1" customHeight="1" outlineLevel="4">
      <c r="A92" s="70" t="s">
        <v>483</v>
      </c>
      <c r="B92" s="139">
        <f>932.672*(1.3/71)</f>
        <v>17.07709295774648</v>
      </c>
      <c r="C92" s="148" t="s">
        <v>1251</v>
      </c>
      <c r="D92" s="139">
        <v>0.94878028169014084</v>
      </c>
      <c r="E92" s="144" t="s">
        <v>141</v>
      </c>
    </row>
    <row r="93" spans="1:5" s="15" customFormat="1" ht="17.850000000000001" hidden="1" customHeight="1" outlineLevel="4">
      <c r="A93" s="70" t="s">
        <v>484</v>
      </c>
      <c r="B93" s="139">
        <f>656.435*(1.3/71)</f>
        <v>12.019232394366199</v>
      </c>
      <c r="C93" s="148" t="s">
        <v>1251</v>
      </c>
      <c r="D93" s="139">
        <v>0.85856760563380297</v>
      </c>
      <c r="E93" s="144" t="s">
        <v>141</v>
      </c>
    </row>
    <row r="94" spans="1:5" s="15" customFormat="1" ht="17.850000000000001" hidden="1" customHeight="1" outlineLevel="4">
      <c r="A94" s="70" t="s">
        <v>485</v>
      </c>
      <c r="B94" s="139">
        <f>760.383*(1.3/71)</f>
        <v>13.922505633802817</v>
      </c>
      <c r="C94" s="148" t="s">
        <v>1251</v>
      </c>
      <c r="D94" s="139">
        <v>0.99448169014084498</v>
      </c>
      <c r="E94" s="144" t="s">
        <v>141</v>
      </c>
    </row>
    <row r="95" spans="1:5" s="15" customFormat="1" ht="17.850000000000001" hidden="1" customHeight="1" outlineLevel="4">
      <c r="A95" s="70" t="s">
        <v>486</v>
      </c>
      <c r="B95" s="139">
        <f>644.384*(1.3/71)</f>
        <v>11.798580281690141</v>
      </c>
      <c r="C95" s="148" t="s">
        <v>1251</v>
      </c>
      <c r="D95" s="139">
        <v>0.98329436619718313</v>
      </c>
      <c r="E95" s="144" t="s">
        <v>141</v>
      </c>
    </row>
    <row r="96" spans="1:5" s="15" customFormat="1" ht="17.850000000000001" hidden="1" customHeight="1" outlineLevel="4">
      <c r="A96" s="70" t="s">
        <v>487</v>
      </c>
      <c r="B96" s="139">
        <f>644.384*(1.3/71)</f>
        <v>11.798580281690141</v>
      </c>
      <c r="C96" s="148" t="s">
        <v>1251</v>
      </c>
      <c r="D96" s="139">
        <v>0.98329436619718313</v>
      </c>
      <c r="E96" s="144" t="s">
        <v>141</v>
      </c>
    </row>
    <row r="97" spans="1:5" s="15" customFormat="1" ht="17.850000000000001" hidden="1" customHeight="1" outlineLevel="4">
      <c r="A97" s="70" t="s">
        <v>488</v>
      </c>
      <c r="B97" s="139">
        <f>644.384*(1.3/71)</f>
        <v>11.798580281690141</v>
      </c>
      <c r="C97" s="148" t="s">
        <v>1251</v>
      </c>
      <c r="D97" s="139">
        <v>0.98329436619718313</v>
      </c>
      <c r="E97" s="144" t="s">
        <v>141</v>
      </c>
    </row>
    <row r="98" spans="1:5" s="15" customFormat="1" ht="17.850000000000001" hidden="1" customHeight="1" outlineLevel="4">
      <c r="A98" s="70" t="s">
        <v>489</v>
      </c>
      <c r="B98" s="139">
        <f>769.639*(1.3/71)</f>
        <v>14.091981690140845</v>
      </c>
      <c r="C98" s="148" t="s">
        <v>1251</v>
      </c>
      <c r="D98" s="139">
        <v>0.88070422535211268</v>
      </c>
      <c r="E98" s="144" t="s">
        <v>141</v>
      </c>
    </row>
    <row r="99" spans="1:5" s="15" customFormat="1" ht="17.850000000000001" hidden="1" customHeight="1" outlineLevel="4">
      <c r="A99" s="70" t="s">
        <v>490</v>
      </c>
      <c r="B99" s="139">
        <f>769.639*(1.3/71)</f>
        <v>14.091981690140845</v>
      </c>
      <c r="C99" s="148" t="s">
        <v>1251</v>
      </c>
      <c r="D99" s="139">
        <v>0.88070422535211268</v>
      </c>
      <c r="E99" s="144" t="s">
        <v>141</v>
      </c>
    </row>
    <row r="100" spans="1:5" s="15" customFormat="1" ht="17.850000000000001" hidden="1" customHeight="1" outlineLevel="4">
      <c r="A100" s="70" t="s">
        <v>491</v>
      </c>
      <c r="B100" s="139">
        <f>769.639*(1.3/71)</f>
        <v>14.091981690140845</v>
      </c>
      <c r="C100" s="148" t="s">
        <v>1251</v>
      </c>
      <c r="D100" s="139">
        <v>0.88070422535211268</v>
      </c>
      <c r="E100" s="144" t="s">
        <v>141</v>
      </c>
    </row>
    <row r="101" spans="1:5" s="15" customFormat="1" ht="17.850000000000001" hidden="1" customHeight="1" outlineLevel="4">
      <c r="A101" s="70" t="s">
        <v>492</v>
      </c>
      <c r="B101" s="139">
        <f>769.639*(1.3/71)</f>
        <v>14.091981690140845</v>
      </c>
      <c r="C101" s="148" t="s">
        <v>1251</v>
      </c>
      <c r="D101" s="139">
        <v>0.88070422535211268</v>
      </c>
      <c r="E101" s="144" t="s">
        <v>141</v>
      </c>
    </row>
    <row r="102" spans="1:5" s="15" customFormat="1" ht="17.850000000000001" hidden="1" customHeight="1" outlineLevel="4">
      <c r="A102" s="70" t="s">
        <v>493</v>
      </c>
      <c r="B102" s="139">
        <f>769.639*(1.3/71)</f>
        <v>14.091981690140845</v>
      </c>
      <c r="C102" s="148" t="s">
        <v>1251</v>
      </c>
      <c r="D102" s="139">
        <v>0.88070422535211268</v>
      </c>
      <c r="E102" s="144" t="s">
        <v>141</v>
      </c>
    </row>
    <row r="103" spans="1:5" s="15" customFormat="1" ht="17.850000000000001" hidden="1" customHeight="1" outlineLevel="4">
      <c r="A103" s="70" t="s">
        <v>494</v>
      </c>
      <c r="B103" s="139">
        <f>751.79*(1.3/71)</f>
        <v>13.765169014084506</v>
      </c>
      <c r="C103" s="148" t="s">
        <v>1251</v>
      </c>
      <c r="D103" s="139">
        <v>1.9663507042253523</v>
      </c>
      <c r="E103" s="144" t="s">
        <v>141</v>
      </c>
    </row>
    <row r="104" spans="1:5" s="15" customFormat="1" ht="17.850000000000001" hidden="1" customHeight="1" outlineLevel="4">
      <c r="A104" s="70" t="s">
        <v>495</v>
      </c>
      <c r="B104" s="139">
        <f>751.79*(1.3/71)</f>
        <v>13.765169014084506</v>
      </c>
      <c r="C104" s="148" t="s">
        <v>1251</v>
      </c>
      <c r="D104" s="139">
        <v>1.9663507042253523</v>
      </c>
      <c r="E104" s="144" t="s">
        <v>141</v>
      </c>
    </row>
    <row r="105" spans="1:5" s="15" customFormat="1" ht="17.850000000000001" hidden="1" customHeight="1" outlineLevel="4">
      <c r="A105" s="70" t="s">
        <v>496</v>
      </c>
      <c r="B105" s="139">
        <f>751.79*(1.3/71)</f>
        <v>13.765169014084506</v>
      </c>
      <c r="C105" s="148" t="s">
        <v>1251</v>
      </c>
      <c r="D105" s="139">
        <v>1.9663507042253523</v>
      </c>
      <c r="E105" s="144" t="s">
        <v>141</v>
      </c>
    </row>
    <row r="106" spans="1:5" s="15" customFormat="1" ht="17.850000000000001" hidden="1" customHeight="1" outlineLevel="4">
      <c r="A106" s="70" t="s">
        <v>497</v>
      </c>
      <c r="B106" s="139">
        <f>751.79*(1.3/71)</f>
        <v>13.765169014084506</v>
      </c>
      <c r="C106" s="148" t="s">
        <v>1251</v>
      </c>
      <c r="D106" s="139">
        <v>1.9663507042253523</v>
      </c>
      <c r="E106" s="144" t="s">
        <v>141</v>
      </c>
    </row>
    <row r="107" spans="1:5" s="15" customFormat="1" ht="17.850000000000001" hidden="1" customHeight="1" outlineLevel="4">
      <c r="A107" s="70" t="s">
        <v>498</v>
      </c>
      <c r="B107" s="139">
        <f>751.79*(1.3/71)</f>
        <v>13.765169014084506</v>
      </c>
      <c r="C107" s="148" t="s">
        <v>1251</v>
      </c>
      <c r="D107" s="139">
        <v>1.9663507042253523</v>
      </c>
      <c r="E107" s="144" t="s">
        <v>141</v>
      </c>
    </row>
    <row r="108" spans="1:5" s="16" customFormat="1" ht="16.350000000000001" hidden="1" customHeight="1" outlineLevel="3" collapsed="1">
      <c r="A108" s="22" t="s">
        <v>499</v>
      </c>
      <c r="B108" s="21"/>
      <c r="C108" s="21"/>
      <c r="D108" s="21"/>
      <c r="E108" s="141"/>
    </row>
    <row r="109" spans="1:5" s="15" customFormat="1" ht="17.850000000000001" hidden="1" customHeight="1" outlineLevel="4">
      <c r="A109" s="70" t="s">
        <v>500</v>
      </c>
      <c r="B109" s="139">
        <f>520.39*(1.3/71)</f>
        <v>9.5282676056338023</v>
      </c>
      <c r="C109" s="148" t="s">
        <v>1251</v>
      </c>
      <c r="D109" s="139">
        <v>0.79406197183098604</v>
      </c>
      <c r="E109" s="144" t="s">
        <v>141</v>
      </c>
    </row>
    <row r="110" spans="1:5" s="15" customFormat="1" ht="17.850000000000001" hidden="1" customHeight="1" outlineLevel="4">
      <c r="A110" s="70" t="s">
        <v>501</v>
      </c>
      <c r="B110" s="139">
        <f>538.772*(1.3/71)</f>
        <v>9.8648394366197198</v>
      </c>
      <c r="C110" s="148" t="s">
        <v>1251</v>
      </c>
      <c r="D110" s="139">
        <v>0.98638873239436631</v>
      </c>
      <c r="E110" s="144" t="s">
        <v>141</v>
      </c>
    </row>
    <row r="111" spans="1:5" s="15" customFormat="1" ht="17.850000000000001" hidden="1" customHeight="1" outlineLevel="4">
      <c r="A111" s="70" t="s">
        <v>502</v>
      </c>
      <c r="B111" s="139">
        <f>966.42*(1.3/71)</f>
        <v>17.69501408450704</v>
      </c>
      <c r="C111" s="148" t="s">
        <v>1251</v>
      </c>
      <c r="D111" s="139">
        <v>0.88475070422535229</v>
      </c>
      <c r="E111" s="144" t="s">
        <v>141</v>
      </c>
    </row>
    <row r="112" spans="1:5" s="15" customFormat="1" ht="17.850000000000001" hidden="1" customHeight="1" outlineLevel="4">
      <c r="A112" s="70" t="s">
        <v>503</v>
      </c>
      <c r="B112" s="139">
        <f>987.987*(1.3/71)</f>
        <v>18.089902816901411</v>
      </c>
      <c r="C112" s="148" t="s">
        <v>1251</v>
      </c>
      <c r="D112" s="139">
        <v>0.90450704225352108</v>
      </c>
      <c r="E112" s="144" t="s">
        <v>141</v>
      </c>
    </row>
    <row r="113" spans="1:5" s="15" customFormat="1" ht="17.850000000000001" hidden="1" customHeight="1" outlineLevel="4">
      <c r="A113" s="70" t="s">
        <v>504</v>
      </c>
      <c r="B113" s="139">
        <f>522.223*(1.3/71)</f>
        <v>9.5618295774647883</v>
      </c>
      <c r="C113" s="148" t="s">
        <v>1251</v>
      </c>
      <c r="D113" s="139">
        <v>0.86927887323943676</v>
      </c>
      <c r="E113" s="144" t="s">
        <v>141</v>
      </c>
    </row>
    <row r="114" spans="1:5" s="15" customFormat="1" ht="17.850000000000001" hidden="1" customHeight="1" outlineLevel="4">
      <c r="A114" s="70" t="s">
        <v>505</v>
      </c>
      <c r="B114" s="139">
        <f>87.1*(1.3/71)</f>
        <v>1.5947887323943664</v>
      </c>
      <c r="C114" s="148" t="s">
        <v>141</v>
      </c>
      <c r="D114" s="139">
        <v>1.5947887323943664</v>
      </c>
      <c r="E114" s="144" t="s">
        <v>141</v>
      </c>
    </row>
    <row r="115" spans="1:5" s="15" customFormat="1" ht="32.85" hidden="1" customHeight="1" outlineLevel="4">
      <c r="A115" s="70" t="s">
        <v>506</v>
      </c>
      <c r="B115" s="139">
        <f>304.343*(1.3/71)</f>
        <v>5.572477464788733</v>
      </c>
      <c r="C115" s="148" t="s">
        <v>1251</v>
      </c>
      <c r="D115" s="139">
        <v>0.46439295774647893</v>
      </c>
      <c r="E115" s="144" t="s">
        <v>141</v>
      </c>
    </row>
    <row r="116" spans="1:5" s="15" customFormat="1" ht="32.85" hidden="1" customHeight="1" outlineLevel="4">
      <c r="A116" s="70" t="s">
        <v>507</v>
      </c>
      <c r="B116" s="139">
        <f>397.488*(1.3/71)</f>
        <v>7.2779492957746479</v>
      </c>
      <c r="C116" s="148" t="s">
        <v>1251</v>
      </c>
      <c r="D116" s="139">
        <v>0.51985352112676053</v>
      </c>
      <c r="E116" s="144" t="s">
        <v>141</v>
      </c>
    </row>
    <row r="117" spans="1:5" s="15" customFormat="1" ht="32.85" hidden="1" customHeight="1" outlineLevel="4">
      <c r="A117" s="70" t="s">
        <v>508</v>
      </c>
      <c r="B117" s="139">
        <f>531.128*(1.3/71)</f>
        <v>9.7248788732394367</v>
      </c>
      <c r="C117" s="148" t="s">
        <v>1251</v>
      </c>
      <c r="D117" s="139">
        <v>0.64838873239436623</v>
      </c>
      <c r="E117" s="144" t="s">
        <v>141</v>
      </c>
    </row>
    <row r="118" spans="1:5" s="15" customFormat="1" ht="32.85" hidden="1" customHeight="1" outlineLevel="4">
      <c r="A118" s="70" t="s">
        <v>509</v>
      </c>
      <c r="B118" s="139">
        <f>405.899*(1.3/71)</f>
        <v>7.4319535211267613</v>
      </c>
      <c r="C118" s="148" t="s">
        <v>1251</v>
      </c>
      <c r="D118" s="139">
        <v>0.61934929577464792</v>
      </c>
      <c r="E118" s="144" t="s">
        <v>141</v>
      </c>
    </row>
    <row r="119" spans="1:5" s="15" customFormat="1" ht="32.85" hidden="1" customHeight="1" outlineLevel="4">
      <c r="A119" s="70" t="s">
        <v>510</v>
      </c>
      <c r="B119" s="139">
        <f>531.401*(1.3/71)</f>
        <v>9.7298774647887321</v>
      </c>
      <c r="C119" s="148" t="s">
        <v>1251</v>
      </c>
      <c r="D119" s="139">
        <v>0.97305915492957762</v>
      </c>
      <c r="E119" s="144" t="s">
        <v>141</v>
      </c>
    </row>
    <row r="120" spans="1:5" s="15" customFormat="1" ht="32.85" hidden="1" customHeight="1" outlineLevel="4">
      <c r="A120" s="70" t="s">
        <v>511</v>
      </c>
      <c r="B120" s="139">
        <f>531.063*(1.3/71)</f>
        <v>9.7236887323943666</v>
      </c>
      <c r="C120" s="148" t="s">
        <v>1251</v>
      </c>
      <c r="D120" s="139">
        <v>0.69456619718309853</v>
      </c>
      <c r="E120" s="144" t="s">
        <v>141</v>
      </c>
    </row>
    <row r="121" spans="1:5" s="15" customFormat="1" ht="32.85" hidden="1" customHeight="1" outlineLevel="4">
      <c r="A121" s="70" t="s">
        <v>512</v>
      </c>
      <c r="B121" s="139">
        <f>814.736*(1.3/71)</f>
        <v>14.917701408450705</v>
      </c>
      <c r="C121" s="148" t="s">
        <v>1251</v>
      </c>
      <c r="D121" s="139">
        <v>1.2432211267605635</v>
      </c>
      <c r="E121" s="144" t="s">
        <v>141</v>
      </c>
    </row>
    <row r="122" spans="1:5" s="15" customFormat="1" ht="17.850000000000001" hidden="1" customHeight="1" outlineLevel="4">
      <c r="A122" s="70" t="s">
        <v>513</v>
      </c>
      <c r="B122" s="139">
        <f>814.736*(1.3/71)</f>
        <v>14.917701408450705</v>
      </c>
      <c r="C122" s="148" t="s">
        <v>1251</v>
      </c>
      <c r="D122" s="139">
        <v>1.2432211267605635</v>
      </c>
      <c r="E122" s="144" t="s">
        <v>141</v>
      </c>
    </row>
    <row r="123" spans="1:5" s="15" customFormat="1" ht="17.850000000000001" hidden="1" customHeight="1" outlineLevel="4">
      <c r="A123" s="70" t="s">
        <v>514</v>
      </c>
      <c r="B123" s="139">
        <f>642.096*(1.3/71)</f>
        <v>11.756687323943662</v>
      </c>
      <c r="C123" s="148" t="s">
        <v>1251</v>
      </c>
      <c r="D123" s="139">
        <v>0.9797239436619718</v>
      </c>
      <c r="E123" s="144" t="s">
        <v>141</v>
      </c>
    </row>
    <row r="124" spans="1:5" s="15" customFormat="1" ht="17.850000000000001" hidden="1" customHeight="1" outlineLevel="4">
      <c r="A124" s="70" t="s">
        <v>515</v>
      </c>
      <c r="B124" s="139">
        <f>612.404*(1.3/71)</f>
        <v>11.213030985915493</v>
      </c>
      <c r="C124" s="148" t="s">
        <v>1251</v>
      </c>
      <c r="D124" s="139">
        <v>0.74764647887323943</v>
      </c>
      <c r="E124" s="144" t="s">
        <v>141</v>
      </c>
    </row>
    <row r="125" spans="1:5" s="15" customFormat="1" ht="17.850000000000001" hidden="1" customHeight="1" outlineLevel="4">
      <c r="A125" s="70" t="s">
        <v>516</v>
      </c>
      <c r="B125" s="139">
        <f>641.277*(1.3/71)</f>
        <v>11.741691549295775</v>
      </c>
      <c r="C125" s="148" t="s">
        <v>1251</v>
      </c>
      <c r="D125" s="139">
        <v>0.78287464788732408</v>
      </c>
      <c r="E125" s="144" t="s">
        <v>141</v>
      </c>
    </row>
    <row r="126" spans="1:5" s="16" customFormat="1" ht="16.350000000000001" hidden="1" customHeight="1" outlineLevel="3" collapsed="1">
      <c r="A126" s="22" t="s">
        <v>517</v>
      </c>
      <c r="B126" s="21"/>
      <c r="C126" s="21"/>
      <c r="D126" s="21"/>
      <c r="E126" s="141"/>
    </row>
    <row r="127" spans="1:5" s="15" customFormat="1" ht="17.850000000000001" hidden="1" customHeight="1" outlineLevel="4">
      <c r="A127" s="70" t="s">
        <v>518</v>
      </c>
      <c r="B127" s="139">
        <f>492.232*(1.3/71)</f>
        <v>9.0126985915492952</v>
      </c>
      <c r="C127" s="148" t="s">
        <v>1251</v>
      </c>
      <c r="D127" s="139">
        <v>1.5021957746478876</v>
      </c>
      <c r="E127" s="144" t="s">
        <v>141</v>
      </c>
    </row>
    <row r="128" spans="1:5" s="15" customFormat="1" ht="17.850000000000001" hidden="1" customHeight="1" outlineLevel="4">
      <c r="A128" s="70" t="s">
        <v>519</v>
      </c>
      <c r="B128" s="139">
        <f>492.232*(1.3/71)</f>
        <v>9.0126985915492952</v>
      </c>
      <c r="C128" s="148" t="s">
        <v>1251</v>
      </c>
      <c r="D128" s="139">
        <v>1.5021957746478876</v>
      </c>
      <c r="E128" s="144" t="s">
        <v>141</v>
      </c>
    </row>
    <row r="129" spans="1:5" s="15" customFormat="1" ht="17.850000000000001" hidden="1" customHeight="1" outlineLevel="4">
      <c r="A129" s="70" t="s">
        <v>520</v>
      </c>
      <c r="B129" s="139">
        <f>492.232*(1.3/71)</f>
        <v>9.0126985915492952</v>
      </c>
      <c r="C129" s="148" t="s">
        <v>1251</v>
      </c>
      <c r="D129" s="139">
        <v>1.5021957746478876</v>
      </c>
      <c r="E129" s="144" t="s">
        <v>141</v>
      </c>
    </row>
    <row r="130" spans="1:5" s="15" customFormat="1" ht="17.850000000000001" hidden="1" customHeight="1" outlineLevel="4">
      <c r="A130" s="70" t="s">
        <v>521</v>
      </c>
      <c r="B130" s="139">
        <f>492.232*(1.3/71)</f>
        <v>9.0126985915492952</v>
      </c>
      <c r="C130" s="148" t="s">
        <v>1251</v>
      </c>
      <c r="D130" s="139">
        <v>1.5021957746478876</v>
      </c>
      <c r="E130" s="144" t="s">
        <v>141</v>
      </c>
    </row>
    <row r="131" spans="1:5" s="15" customFormat="1" ht="17.850000000000001" hidden="1" customHeight="1" outlineLevel="4">
      <c r="A131" s="70" t="s">
        <v>522</v>
      </c>
      <c r="B131" s="139">
        <f t="shared" ref="B131:B136" si="4">439.881*(1.3/71)</f>
        <v>8.0541591549295788</v>
      </c>
      <c r="C131" s="148" t="s">
        <v>1251</v>
      </c>
      <c r="D131" s="139">
        <v>0.67123943661971841</v>
      </c>
      <c r="E131" s="144" t="s">
        <v>141</v>
      </c>
    </row>
    <row r="132" spans="1:5" s="15" customFormat="1" ht="32.85" hidden="1" customHeight="1" outlineLevel="4">
      <c r="A132" s="70" t="s">
        <v>523</v>
      </c>
      <c r="B132" s="139">
        <f t="shared" si="4"/>
        <v>8.0541591549295788</v>
      </c>
      <c r="C132" s="148" t="s">
        <v>1251</v>
      </c>
      <c r="D132" s="139">
        <v>0.67123943661971841</v>
      </c>
      <c r="E132" s="144" t="s">
        <v>141</v>
      </c>
    </row>
    <row r="133" spans="1:5" s="15" customFormat="1" ht="17.850000000000001" hidden="1" customHeight="1" outlineLevel="4">
      <c r="A133" s="70" t="s">
        <v>524</v>
      </c>
      <c r="B133" s="139">
        <f t="shared" si="4"/>
        <v>8.0541591549295788</v>
      </c>
      <c r="C133" s="148" t="s">
        <v>1251</v>
      </c>
      <c r="D133" s="139">
        <v>0.67123943661971841</v>
      </c>
      <c r="E133" s="144" t="s">
        <v>141</v>
      </c>
    </row>
    <row r="134" spans="1:5" s="15" customFormat="1" ht="17.850000000000001" hidden="1" customHeight="1" outlineLevel="4">
      <c r="A134" s="70" t="s">
        <v>525</v>
      </c>
      <c r="B134" s="139">
        <f t="shared" si="4"/>
        <v>8.0541591549295788</v>
      </c>
      <c r="C134" s="148" t="s">
        <v>1251</v>
      </c>
      <c r="D134" s="139">
        <v>0.67123943661971841</v>
      </c>
      <c r="E134" s="144" t="s">
        <v>141</v>
      </c>
    </row>
    <row r="135" spans="1:5" s="15" customFormat="1" ht="17.850000000000001" hidden="1" customHeight="1" outlineLevel="4">
      <c r="A135" s="70" t="s">
        <v>526</v>
      </c>
      <c r="B135" s="139">
        <f t="shared" si="4"/>
        <v>8.0541591549295788</v>
      </c>
      <c r="C135" s="148" t="s">
        <v>1251</v>
      </c>
      <c r="D135" s="139">
        <v>0.67123943661971841</v>
      </c>
      <c r="E135" s="144" t="s">
        <v>141</v>
      </c>
    </row>
    <row r="136" spans="1:5" s="15" customFormat="1" ht="17.850000000000001" hidden="1" customHeight="1" outlineLevel="4">
      <c r="A136" s="70" t="s">
        <v>527</v>
      </c>
      <c r="B136" s="139">
        <f t="shared" si="4"/>
        <v>8.0541591549295788</v>
      </c>
      <c r="C136" s="148" t="s">
        <v>1251</v>
      </c>
      <c r="D136" s="139">
        <v>0.67123943661971841</v>
      </c>
      <c r="E136" s="144" t="s">
        <v>141</v>
      </c>
    </row>
    <row r="137" spans="1:5" s="15" customFormat="1" ht="32.85" hidden="1" customHeight="1" outlineLevel="4">
      <c r="A137" s="70" t="s">
        <v>528</v>
      </c>
      <c r="B137" s="139">
        <f>772.512*(1.3/71)</f>
        <v>14.144585915492959</v>
      </c>
      <c r="C137" s="148" t="s">
        <v>1251</v>
      </c>
      <c r="D137" s="139">
        <v>3.5361464788732397</v>
      </c>
      <c r="E137" s="144" t="s">
        <v>1250</v>
      </c>
    </row>
    <row r="138" spans="1:5" s="15" customFormat="1" ht="32.85" hidden="1" customHeight="1" outlineLevel="4">
      <c r="A138" s="70" t="s">
        <v>529</v>
      </c>
      <c r="B138" s="139">
        <f t="shared" ref="B138:B146" si="5">524.784*(1.3/71)</f>
        <v>9.6087211267605639</v>
      </c>
      <c r="C138" s="148" t="s">
        <v>1251</v>
      </c>
      <c r="D138" s="139">
        <v>0.64053380281690153</v>
      </c>
      <c r="E138" s="144" t="s">
        <v>141</v>
      </c>
    </row>
    <row r="139" spans="1:5" s="15" customFormat="1" ht="32.85" hidden="1" customHeight="1" outlineLevel="4">
      <c r="A139" s="70" t="s">
        <v>530</v>
      </c>
      <c r="B139" s="139">
        <f t="shared" si="5"/>
        <v>9.6087211267605639</v>
      </c>
      <c r="C139" s="148" t="s">
        <v>1251</v>
      </c>
      <c r="D139" s="139">
        <v>0.64053380281690153</v>
      </c>
      <c r="E139" s="144" t="s">
        <v>141</v>
      </c>
    </row>
    <row r="140" spans="1:5" s="15" customFormat="1" ht="32.85" hidden="1" customHeight="1" outlineLevel="4">
      <c r="A140" s="70" t="s">
        <v>531</v>
      </c>
      <c r="B140" s="139">
        <f t="shared" si="5"/>
        <v>9.6087211267605639</v>
      </c>
      <c r="C140" s="148" t="s">
        <v>1251</v>
      </c>
      <c r="D140" s="139">
        <v>0.64053380281690153</v>
      </c>
      <c r="E140" s="144" t="s">
        <v>141</v>
      </c>
    </row>
    <row r="141" spans="1:5" s="15" customFormat="1" ht="32.85" hidden="1" customHeight="1" outlineLevel="4">
      <c r="A141" s="70" t="s">
        <v>532</v>
      </c>
      <c r="B141" s="139">
        <f t="shared" si="5"/>
        <v>9.6087211267605639</v>
      </c>
      <c r="C141" s="148" t="s">
        <v>1251</v>
      </c>
      <c r="D141" s="139">
        <v>0.64053380281690153</v>
      </c>
      <c r="E141" s="144" t="s">
        <v>141</v>
      </c>
    </row>
    <row r="142" spans="1:5" s="15" customFormat="1" ht="32.85" hidden="1" customHeight="1" outlineLevel="4">
      <c r="A142" s="70" t="s">
        <v>533</v>
      </c>
      <c r="B142" s="139">
        <f t="shared" si="5"/>
        <v>9.6087211267605639</v>
      </c>
      <c r="C142" s="148" t="s">
        <v>1251</v>
      </c>
      <c r="D142" s="139">
        <v>0.64053380281690153</v>
      </c>
      <c r="E142" s="144" t="s">
        <v>141</v>
      </c>
    </row>
    <row r="143" spans="1:5" s="15" customFormat="1" ht="32.85" hidden="1" customHeight="1" outlineLevel="4">
      <c r="A143" s="70" t="s">
        <v>534</v>
      </c>
      <c r="B143" s="139">
        <f t="shared" si="5"/>
        <v>9.6087211267605639</v>
      </c>
      <c r="C143" s="148" t="s">
        <v>1251</v>
      </c>
      <c r="D143" s="139">
        <v>0.64053380281690153</v>
      </c>
      <c r="E143" s="144" t="s">
        <v>141</v>
      </c>
    </row>
    <row r="144" spans="1:5" s="15" customFormat="1" ht="32.85" hidden="1" customHeight="1" outlineLevel="4">
      <c r="A144" s="70" t="s">
        <v>535</v>
      </c>
      <c r="B144" s="139">
        <f t="shared" si="5"/>
        <v>9.6087211267605639</v>
      </c>
      <c r="C144" s="148" t="s">
        <v>1251</v>
      </c>
      <c r="D144" s="139">
        <v>0.64053380281690153</v>
      </c>
      <c r="E144" s="144" t="s">
        <v>141</v>
      </c>
    </row>
    <row r="145" spans="1:5" s="15" customFormat="1" ht="32.85" hidden="1" customHeight="1" outlineLevel="4">
      <c r="A145" s="70" t="s">
        <v>536</v>
      </c>
      <c r="B145" s="139">
        <f t="shared" si="5"/>
        <v>9.6087211267605639</v>
      </c>
      <c r="C145" s="148" t="s">
        <v>1251</v>
      </c>
      <c r="D145" s="139">
        <v>0.64053380281690153</v>
      </c>
      <c r="E145" s="144" t="s">
        <v>141</v>
      </c>
    </row>
    <row r="146" spans="1:5" s="15" customFormat="1" ht="32.85" hidden="1" customHeight="1" outlineLevel="4">
      <c r="A146" s="70" t="s">
        <v>537</v>
      </c>
      <c r="B146" s="139">
        <f t="shared" si="5"/>
        <v>9.6087211267605639</v>
      </c>
      <c r="C146" s="148" t="s">
        <v>1251</v>
      </c>
      <c r="D146" s="139">
        <v>0.64053380281690153</v>
      </c>
      <c r="E146" s="144" t="s">
        <v>141</v>
      </c>
    </row>
    <row r="147" spans="1:5" s="15" customFormat="1" ht="17.850000000000001" hidden="1" customHeight="1" outlineLevel="4">
      <c r="A147" s="70" t="s">
        <v>538</v>
      </c>
      <c r="B147" s="139">
        <f>1020.838*(1.3/71)</f>
        <v>18.691400000000002</v>
      </c>
      <c r="C147" s="148" t="s">
        <v>1251</v>
      </c>
      <c r="D147" s="139">
        <v>1.8692352112676056</v>
      </c>
      <c r="E147" s="144" t="s">
        <v>141</v>
      </c>
    </row>
    <row r="148" spans="1:5" s="15" customFormat="1" ht="17.850000000000001" hidden="1" customHeight="1" outlineLevel="4">
      <c r="A148" s="70" t="s">
        <v>539</v>
      </c>
      <c r="B148" s="139">
        <f>1020.838*(1.3/71)</f>
        <v>18.691400000000002</v>
      </c>
      <c r="C148" s="148" t="s">
        <v>1251</v>
      </c>
      <c r="D148" s="139">
        <v>1.8692352112676056</v>
      </c>
      <c r="E148" s="144" t="s">
        <v>141</v>
      </c>
    </row>
    <row r="149" spans="1:5" s="15" customFormat="1" ht="17.850000000000001" hidden="1" customHeight="1" outlineLevel="4">
      <c r="A149" s="70" t="s">
        <v>540</v>
      </c>
      <c r="B149" s="139">
        <f>1020.838*(1.3/71)</f>
        <v>18.691400000000002</v>
      </c>
      <c r="C149" s="148" t="s">
        <v>1251</v>
      </c>
      <c r="D149" s="139">
        <v>1.8692352112676056</v>
      </c>
      <c r="E149" s="144" t="s">
        <v>141</v>
      </c>
    </row>
    <row r="150" spans="1:5" s="15" customFormat="1" ht="17.850000000000001" hidden="1" customHeight="1" outlineLevel="4">
      <c r="A150" s="70" t="s">
        <v>541</v>
      </c>
      <c r="B150" s="139">
        <f>1020.838*(1.3/71)</f>
        <v>18.691400000000002</v>
      </c>
      <c r="C150" s="148" t="s">
        <v>1251</v>
      </c>
      <c r="D150" s="139">
        <v>1.8692352112676056</v>
      </c>
      <c r="E150" s="144" t="s">
        <v>141</v>
      </c>
    </row>
    <row r="151" spans="1:5" s="15" customFormat="1" ht="17.850000000000001" hidden="1" customHeight="1" outlineLevel="4">
      <c r="A151" s="70" t="s">
        <v>542</v>
      </c>
      <c r="B151" s="139">
        <f>1020.838*(1.3/71)</f>
        <v>18.691400000000002</v>
      </c>
      <c r="C151" s="148" t="s">
        <v>1251</v>
      </c>
      <c r="D151" s="139">
        <v>1.8692352112676056</v>
      </c>
      <c r="E151" s="144" t="s">
        <v>141</v>
      </c>
    </row>
    <row r="152" spans="1:5" s="15" customFormat="1" ht="17.850000000000001" hidden="1" customHeight="1" outlineLevel="4">
      <c r="A152" s="70" t="s">
        <v>543</v>
      </c>
      <c r="B152" s="139">
        <f t="shared" ref="B152:B157" si="6">452.504*(1.3/71)</f>
        <v>8.2852845070422543</v>
      </c>
      <c r="C152" s="148" t="s">
        <v>1251</v>
      </c>
      <c r="D152" s="139">
        <v>0.69051971830985925</v>
      </c>
      <c r="E152" s="144" t="s">
        <v>141</v>
      </c>
    </row>
    <row r="153" spans="1:5" s="15" customFormat="1" ht="17.850000000000001" hidden="1" customHeight="1" outlineLevel="4">
      <c r="A153" s="70" t="s">
        <v>544</v>
      </c>
      <c r="B153" s="139">
        <f t="shared" si="6"/>
        <v>8.2852845070422543</v>
      </c>
      <c r="C153" s="148" t="s">
        <v>1251</v>
      </c>
      <c r="D153" s="139">
        <v>0.69051971830985925</v>
      </c>
      <c r="E153" s="144" t="s">
        <v>141</v>
      </c>
    </row>
    <row r="154" spans="1:5" s="15" customFormat="1" ht="17.850000000000001" hidden="1" customHeight="1" outlineLevel="4">
      <c r="A154" s="70" t="s">
        <v>545</v>
      </c>
      <c r="B154" s="139">
        <f t="shared" si="6"/>
        <v>8.2852845070422543</v>
      </c>
      <c r="C154" s="148" t="s">
        <v>1251</v>
      </c>
      <c r="D154" s="139">
        <v>0.69051971830985925</v>
      </c>
      <c r="E154" s="144" t="s">
        <v>141</v>
      </c>
    </row>
    <row r="155" spans="1:5" s="15" customFormat="1" ht="17.850000000000001" hidden="1" customHeight="1" outlineLevel="4">
      <c r="A155" s="70" t="s">
        <v>546</v>
      </c>
      <c r="B155" s="139">
        <f t="shared" si="6"/>
        <v>8.2852845070422543</v>
      </c>
      <c r="C155" s="148" t="s">
        <v>1251</v>
      </c>
      <c r="D155" s="139">
        <v>0.69051971830985925</v>
      </c>
      <c r="E155" s="144" t="s">
        <v>141</v>
      </c>
    </row>
    <row r="156" spans="1:5" s="15" customFormat="1" ht="17.850000000000001" hidden="1" customHeight="1" outlineLevel="4">
      <c r="A156" s="70" t="s">
        <v>547</v>
      </c>
      <c r="B156" s="139">
        <f t="shared" si="6"/>
        <v>8.2852845070422543</v>
      </c>
      <c r="C156" s="148" t="s">
        <v>1251</v>
      </c>
      <c r="D156" s="139">
        <v>0.69051971830985925</v>
      </c>
      <c r="E156" s="144" t="s">
        <v>141</v>
      </c>
    </row>
    <row r="157" spans="1:5" s="15" customFormat="1" ht="17.850000000000001" hidden="1" customHeight="1" outlineLevel="4">
      <c r="A157" s="70" t="s">
        <v>548</v>
      </c>
      <c r="B157" s="139">
        <f t="shared" si="6"/>
        <v>8.2852845070422543</v>
      </c>
      <c r="C157" s="148" t="s">
        <v>1251</v>
      </c>
      <c r="D157" s="139">
        <v>0.69051971830985925</v>
      </c>
      <c r="E157" s="144" t="s">
        <v>141</v>
      </c>
    </row>
    <row r="158" spans="1:5" s="15" customFormat="1" ht="17.850000000000001" hidden="1" customHeight="1" outlineLevel="4">
      <c r="A158" s="70" t="s">
        <v>549</v>
      </c>
      <c r="B158" s="139">
        <f>525.538*(1.3/71)</f>
        <v>9.62252676056338</v>
      </c>
      <c r="C158" s="148" t="s">
        <v>1251</v>
      </c>
      <c r="D158" s="139">
        <v>0.64148591549295786</v>
      </c>
      <c r="E158" s="144" t="s">
        <v>141</v>
      </c>
    </row>
    <row r="159" spans="1:5" s="15" customFormat="1" ht="32.85" hidden="1" customHeight="1" outlineLevel="4">
      <c r="A159" s="70" t="s">
        <v>550</v>
      </c>
      <c r="B159" s="139">
        <f>525.538*(1.3/71)</f>
        <v>9.62252676056338</v>
      </c>
      <c r="C159" s="148" t="s">
        <v>1251</v>
      </c>
      <c r="D159" s="139">
        <v>0.64148591549295786</v>
      </c>
      <c r="E159" s="144" t="s">
        <v>141</v>
      </c>
    </row>
    <row r="160" spans="1:5" s="15" customFormat="1" ht="17.850000000000001" hidden="1" customHeight="1" outlineLevel="4">
      <c r="A160" s="70" t="s">
        <v>551</v>
      </c>
      <c r="B160" s="139">
        <f>525.538*(1.3/71)</f>
        <v>9.62252676056338</v>
      </c>
      <c r="C160" s="148" t="s">
        <v>1251</v>
      </c>
      <c r="D160" s="139">
        <v>0.64148591549295786</v>
      </c>
      <c r="E160" s="144" t="s">
        <v>141</v>
      </c>
    </row>
    <row r="161" spans="1:5" s="15" customFormat="1" ht="17.850000000000001" hidden="1" customHeight="1" outlineLevel="4">
      <c r="A161" s="70" t="s">
        <v>552</v>
      </c>
      <c r="B161" s="139">
        <f>525.538*(1.3/71)</f>
        <v>9.62252676056338</v>
      </c>
      <c r="C161" s="148" t="s">
        <v>1251</v>
      </c>
      <c r="D161" s="139">
        <v>0.64148591549295786</v>
      </c>
      <c r="E161" s="144" t="s">
        <v>141</v>
      </c>
    </row>
    <row r="162" spans="1:5" s="15" customFormat="1" ht="17.850000000000001" hidden="1" customHeight="1" outlineLevel="4">
      <c r="A162" s="70" t="s">
        <v>553</v>
      </c>
      <c r="B162" s="139">
        <f>525.538*(1.3/71)</f>
        <v>9.62252676056338</v>
      </c>
      <c r="C162" s="148" t="s">
        <v>1251</v>
      </c>
      <c r="D162" s="139">
        <v>0.64148591549295786</v>
      </c>
      <c r="E162" s="144" t="s">
        <v>141</v>
      </c>
    </row>
    <row r="163" spans="1:5" s="15" customFormat="1" ht="17.850000000000001" hidden="1" customHeight="1" outlineLevel="4">
      <c r="A163" s="70" t="s">
        <v>554</v>
      </c>
      <c r="B163" s="139">
        <f>488.761*(1.3/71)</f>
        <v>8.949145070422535</v>
      </c>
      <c r="C163" s="148" t="s">
        <v>1251</v>
      </c>
      <c r="D163" s="139">
        <v>0.59649859154929585</v>
      </c>
      <c r="E163" s="144" t="s">
        <v>141</v>
      </c>
    </row>
    <row r="164" spans="1:5" s="15" customFormat="1" ht="17.850000000000001" hidden="1" customHeight="1" outlineLevel="4">
      <c r="A164" s="70" t="s">
        <v>555</v>
      </c>
      <c r="B164" s="139">
        <f>488.618*(1.3/71)</f>
        <v>8.9465267605633816</v>
      </c>
      <c r="C164" s="148" t="s">
        <v>1251</v>
      </c>
      <c r="D164" s="139">
        <v>0.59649859154929585</v>
      </c>
      <c r="E164" s="144" t="s">
        <v>141</v>
      </c>
    </row>
    <row r="165" spans="1:5" s="15" customFormat="1" ht="17.850000000000001" hidden="1" customHeight="1" outlineLevel="4">
      <c r="A165" s="70" t="s">
        <v>556</v>
      </c>
      <c r="B165" s="139">
        <f>488.618*(1.3/71)</f>
        <v>8.9465267605633816</v>
      </c>
      <c r="C165" s="148" t="s">
        <v>1251</v>
      </c>
      <c r="D165" s="139">
        <v>0.59649859154929585</v>
      </c>
      <c r="E165" s="144" t="s">
        <v>141</v>
      </c>
    </row>
    <row r="166" spans="1:5" s="15" customFormat="1" ht="32.85" hidden="1" customHeight="1" outlineLevel="4">
      <c r="A166" s="70" t="s">
        <v>557</v>
      </c>
      <c r="B166" s="139">
        <f>488.618*(1.3/71)</f>
        <v>8.9465267605633816</v>
      </c>
      <c r="C166" s="148" t="s">
        <v>1251</v>
      </c>
      <c r="D166" s="139">
        <v>0.59649859154929585</v>
      </c>
      <c r="E166" s="144" t="s">
        <v>141</v>
      </c>
    </row>
    <row r="167" spans="1:5" s="15" customFormat="1" ht="17.850000000000001" hidden="1" customHeight="1" outlineLevel="4">
      <c r="A167" s="70" t="s">
        <v>558</v>
      </c>
      <c r="B167" s="139">
        <f>488.618*(1.3/71)</f>
        <v>8.9465267605633816</v>
      </c>
      <c r="C167" s="148" t="s">
        <v>1251</v>
      </c>
      <c r="D167" s="139">
        <v>0.59649859154929585</v>
      </c>
      <c r="E167" s="144" t="s">
        <v>141</v>
      </c>
    </row>
    <row r="168" spans="1:5" s="15" customFormat="1" ht="32.85" hidden="1" customHeight="1" outlineLevel="4">
      <c r="A168" s="70" t="s">
        <v>559</v>
      </c>
      <c r="B168" s="139">
        <f>488.618*(1.3/71)</f>
        <v>8.9465267605633816</v>
      </c>
      <c r="C168" s="148" t="s">
        <v>1251</v>
      </c>
      <c r="D168" s="139">
        <v>0.59649859154929585</v>
      </c>
      <c r="E168" s="144" t="s">
        <v>141</v>
      </c>
    </row>
    <row r="169" spans="1:5" s="15" customFormat="1" ht="17.850000000000001" hidden="1" customHeight="1" outlineLevel="4">
      <c r="A169" s="70" t="s">
        <v>560</v>
      </c>
      <c r="B169" s="139">
        <f>587.99*(1.3/71)</f>
        <v>10.766014084507042</v>
      </c>
      <c r="C169" s="148" t="s">
        <v>1251</v>
      </c>
      <c r="D169" s="139">
        <v>0.89712816901408454</v>
      </c>
      <c r="E169" s="144" t="s">
        <v>141</v>
      </c>
    </row>
    <row r="170" spans="1:5" s="15" customFormat="1" ht="17.850000000000001" hidden="1" customHeight="1" outlineLevel="4">
      <c r="A170" s="70" t="s">
        <v>561</v>
      </c>
      <c r="B170" s="139">
        <f>587.99*(1.3/71)</f>
        <v>10.766014084507042</v>
      </c>
      <c r="C170" s="148" t="s">
        <v>1251</v>
      </c>
      <c r="D170" s="139">
        <v>0.89712816901408454</v>
      </c>
      <c r="E170" s="144" t="s">
        <v>141</v>
      </c>
    </row>
    <row r="171" spans="1:5" s="16" customFormat="1" ht="16.350000000000001" hidden="1" customHeight="1" outlineLevel="3" collapsed="1">
      <c r="A171" s="22" t="s">
        <v>562</v>
      </c>
      <c r="B171" s="21"/>
      <c r="C171" s="21"/>
      <c r="D171" s="21"/>
      <c r="E171" s="141"/>
    </row>
    <row r="172" spans="1:5" s="15" customFormat="1" ht="32.85" hidden="1" customHeight="1" outlineLevel="4">
      <c r="A172" s="70" t="s">
        <v>563</v>
      </c>
      <c r="B172" s="139">
        <f>1579.604*(1.3/71)</f>
        <v>28.922326760563379</v>
      </c>
      <c r="C172" s="148" t="s">
        <v>1251</v>
      </c>
      <c r="D172" s="139">
        <v>4.8203084507042249</v>
      </c>
      <c r="E172" s="144" t="s">
        <v>141</v>
      </c>
    </row>
    <row r="173" spans="1:5" s="15" customFormat="1" ht="32.85" hidden="1" customHeight="1" outlineLevel="4">
      <c r="A173" s="70" t="s">
        <v>564</v>
      </c>
      <c r="B173" s="139">
        <f>703.82*(1.3/71)</f>
        <v>12.886845070422536</v>
      </c>
      <c r="C173" s="148" t="s">
        <v>1251</v>
      </c>
      <c r="D173" s="139">
        <v>1.2886845070422537</v>
      </c>
      <c r="E173" s="144" t="s">
        <v>141</v>
      </c>
    </row>
    <row r="174" spans="1:5" s="15" customFormat="1" ht="32.85" hidden="1" customHeight="1" outlineLevel="4">
      <c r="A174" s="70" t="s">
        <v>565</v>
      </c>
      <c r="B174" s="139">
        <f>0.013*(1.3/71)</f>
        <v>2.3802816901408454E-4</v>
      </c>
      <c r="C174" s="148" t="s">
        <v>1251</v>
      </c>
      <c r="D174" s="139">
        <v>2.3802816901408454E-4</v>
      </c>
      <c r="E174" s="144" t="s">
        <v>1251</v>
      </c>
    </row>
    <row r="175" spans="1:5" s="15" customFormat="1" ht="17.850000000000001" hidden="1" customHeight="1" outlineLevel="4">
      <c r="A175" s="70" t="s">
        <v>566</v>
      </c>
      <c r="B175" s="139">
        <f t="shared" ref="B175:B181" si="7">734.734*(1.3/71)</f>
        <v>13.452876056338027</v>
      </c>
      <c r="C175" s="148" t="s">
        <v>1251</v>
      </c>
      <c r="D175" s="139">
        <v>2.2422253521126763</v>
      </c>
      <c r="E175" s="144" t="s">
        <v>141</v>
      </c>
    </row>
    <row r="176" spans="1:5" s="15" customFormat="1" ht="17.850000000000001" hidden="1" customHeight="1" outlineLevel="4">
      <c r="A176" s="70" t="s">
        <v>567</v>
      </c>
      <c r="B176" s="139">
        <f t="shared" si="7"/>
        <v>13.452876056338027</v>
      </c>
      <c r="C176" s="148" t="s">
        <v>1251</v>
      </c>
      <c r="D176" s="139">
        <v>2.2422253521126763</v>
      </c>
      <c r="E176" s="144" t="s">
        <v>141</v>
      </c>
    </row>
    <row r="177" spans="1:5" s="15" customFormat="1" ht="17.850000000000001" hidden="1" customHeight="1" outlineLevel="4">
      <c r="A177" s="70" t="s">
        <v>568</v>
      </c>
      <c r="B177" s="139">
        <f t="shared" si="7"/>
        <v>13.452876056338027</v>
      </c>
      <c r="C177" s="148" t="s">
        <v>1251</v>
      </c>
      <c r="D177" s="139">
        <v>2.2422253521126763</v>
      </c>
      <c r="E177" s="144" t="s">
        <v>141</v>
      </c>
    </row>
    <row r="178" spans="1:5" s="15" customFormat="1" ht="32.85" hidden="1" customHeight="1" outlineLevel="4">
      <c r="A178" s="70" t="s">
        <v>569</v>
      </c>
      <c r="B178" s="139">
        <f t="shared" si="7"/>
        <v>13.452876056338027</v>
      </c>
      <c r="C178" s="148" t="s">
        <v>1251</v>
      </c>
      <c r="D178" s="139">
        <v>2.2422253521126763</v>
      </c>
      <c r="E178" s="144" t="s">
        <v>141</v>
      </c>
    </row>
    <row r="179" spans="1:5" s="15" customFormat="1" ht="17.850000000000001" hidden="1" customHeight="1" outlineLevel="4">
      <c r="A179" s="70" t="s">
        <v>570</v>
      </c>
      <c r="B179" s="139">
        <f t="shared" si="7"/>
        <v>13.452876056338027</v>
      </c>
      <c r="C179" s="148" t="s">
        <v>1251</v>
      </c>
      <c r="D179" s="139">
        <v>2.2422253521126763</v>
      </c>
      <c r="E179" s="144" t="s">
        <v>141</v>
      </c>
    </row>
    <row r="180" spans="1:5" s="15" customFormat="1" ht="32.85" hidden="1" customHeight="1" outlineLevel="4">
      <c r="A180" s="70" t="s">
        <v>571</v>
      </c>
      <c r="B180" s="139">
        <f t="shared" si="7"/>
        <v>13.452876056338027</v>
      </c>
      <c r="C180" s="148" t="s">
        <v>1251</v>
      </c>
      <c r="D180" s="139">
        <v>2.2422253521126763</v>
      </c>
      <c r="E180" s="144" t="s">
        <v>141</v>
      </c>
    </row>
    <row r="181" spans="1:5" s="15" customFormat="1" ht="32.85" hidden="1" customHeight="1" outlineLevel="4">
      <c r="A181" s="70" t="s">
        <v>572</v>
      </c>
      <c r="B181" s="139">
        <f t="shared" si="7"/>
        <v>13.452876056338027</v>
      </c>
      <c r="C181" s="148" t="s">
        <v>1251</v>
      </c>
      <c r="D181" s="139">
        <v>2.2422253521126763</v>
      </c>
      <c r="E181" s="144" t="s">
        <v>141</v>
      </c>
    </row>
    <row r="182" spans="1:5" s="15" customFormat="1" ht="32.85" hidden="1" customHeight="1" outlineLevel="4">
      <c r="A182" s="70" t="s">
        <v>573</v>
      </c>
      <c r="B182" s="139">
        <f>699.751*(1.3/71)</f>
        <v>12.812342253521127</v>
      </c>
      <c r="C182" s="148" t="s">
        <v>1251</v>
      </c>
      <c r="D182" s="139">
        <v>2.1353507042253517</v>
      </c>
      <c r="E182" s="144" t="s">
        <v>141</v>
      </c>
    </row>
    <row r="183" spans="1:5" s="15" customFormat="1" ht="32.85" hidden="1" customHeight="1" outlineLevel="4">
      <c r="A183" s="70" t="s">
        <v>574</v>
      </c>
      <c r="B183" s="139">
        <f>868.114*(1.3/71)</f>
        <v>15.895045070422535</v>
      </c>
      <c r="C183" s="148" t="s">
        <v>1251</v>
      </c>
      <c r="D183" s="139">
        <v>2.6492535211267607</v>
      </c>
      <c r="E183" s="144" t="s">
        <v>141</v>
      </c>
    </row>
    <row r="184" spans="1:5" s="15" customFormat="1" ht="32.85" hidden="1" customHeight="1" outlineLevel="4">
      <c r="A184" s="70" t="s">
        <v>575</v>
      </c>
      <c r="B184" s="139">
        <f>846.599*(1.3/71)</f>
        <v>15.501108450704226</v>
      </c>
      <c r="C184" s="148" t="s">
        <v>1251</v>
      </c>
      <c r="D184" s="139">
        <v>1.9375492957746479</v>
      </c>
      <c r="E184" s="144" t="s">
        <v>141</v>
      </c>
    </row>
    <row r="185" spans="1:5" s="15" customFormat="1" ht="32.85" hidden="1" customHeight="1" outlineLevel="4">
      <c r="A185" s="70" t="s">
        <v>576</v>
      </c>
      <c r="B185" s="139">
        <f>846.599*(1.3/71)</f>
        <v>15.501108450704226</v>
      </c>
      <c r="C185" s="148" t="s">
        <v>1251</v>
      </c>
      <c r="D185" s="139">
        <v>1.9375492957746479</v>
      </c>
      <c r="E185" s="144" t="s">
        <v>141</v>
      </c>
    </row>
    <row r="186" spans="1:5" s="15" customFormat="1" ht="32.85" hidden="1" customHeight="1" outlineLevel="4">
      <c r="A186" s="70" t="s">
        <v>577</v>
      </c>
      <c r="B186" s="139">
        <f>846.599*(1.3/71)</f>
        <v>15.501108450704226</v>
      </c>
      <c r="C186" s="148" t="s">
        <v>1251</v>
      </c>
      <c r="D186" s="139">
        <v>1.9375492957746479</v>
      </c>
      <c r="E186" s="144" t="s">
        <v>141</v>
      </c>
    </row>
    <row r="187" spans="1:5" s="15" customFormat="1" ht="32.85" hidden="1" customHeight="1" outlineLevel="4">
      <c r="A187" s="70" t="s">
        <v>578</v>
      </c>
      <c r="B187" s="139">
        <f>846.599*(1.3/71)</f>
        <v>15.501108450704226</v>
      </c>
      <c r="C187" s="148" t="s">
        <v>1251</v>
      </c>
      <c r="D187" s="139">
        <v>1.9375492957746479</v>
      </c>
      <c r="E187" s="144" t="s">
        <v>141</v>
      </c>
    </row>
    <row r="188" spans="1:5" s="15" customFormat="1" ht="32.85" hidden="1" customHeight="1" outlineLevel="4">
      <c r="A188" s="70" t="s">
        <v>579</v>
      </c>
      <c r="B188" s="139">
        <f>512.174*(1.3/71)</f>
        <v>9.3778338028169035</v>
      </c>
      <c r="C188" s="148" t="s">
        <v>1251</v>
      </c>
      <c r="D188" s="139">
        <v>1.3396225352112676</v>
      </c>
      <c r="E188" s="144" t="s">
        <v>141</v>
      </c>
    </row>
    <row r="189" spans="1:5" s="15" customFormat="1" ht="32.85" hidden="1" customHeight="1" outlineLevel="4">
      <c r="A189" s="70" t="s">
        <v>580</v>
      </c>
      <c r="B189" s="139">
        <f>512.174*(1.3/71)</f>
        <v>9.3778338028169035</v>
      </c>
      <c r="C189" s="148" t="s">
        <v>1251</v>
      </c>
      <c r="D189" s="139">
        <v>1.3396225352112676</v>
      </c>
      <c r="E189" s="144" t="s">
        <v>141</v>
      </c>
    </row>
    <row r="190" spans="1:5" s="15" customFormat="1" ht="32.85" hidden="1" customHeight="1" outlineLevel="4">
      <c r="A190" s="70" t="s">
        <v>581</v>
      </c>
      <c r="B190" s="139">
        <f>512.174*(1.3/71)</f>
        <v>9.3778338028169035</v>
      </c>
      <c r="C190" s="148" t="s">
        <v>1251</v>
      </c>
      <c r="D190" s="139">
        <v>1.3396225352112676</v>
      </c>
      <c r="E190" s="144" t="s">
        <v>141</v>
      </c>
    </row>
    <row r="191" spans="1:5" s="15" customFormat="1" ht="32.85" hidden="1" customHeight="1" outlineLevel="4">
      <c r="A191" s="70" t="s">
        <v>582</v>
      </c>
      <c r="B191" s="139">
        <f>512.174*(1.3/71)</f>
        <v>9.3778338028169035</v>
      </c>
      <c r="C191" s="148" t="s">
        <v>1251</v>
      </c>
      <c r="D191" s="139">
        <v>1.3396225352112676</v>
      </c>
      <c r="E191" s="144" t="s">
        <v>141</v>
      </c>
    </row>
    <row r="192" spans="1:5" s="16" customFormat="1" ht="16.350000000000001" hidden="1" customHeight="1" outlineLevel="3" collapsed="1">
      <c r="A192" s="22" t="s">
        <v>583</v>
      </c>
      <c r="B192" s="21"/>
      <c r="C192" s="21"/>
      <c r="D192" s="21"/>
      <c r="E192" s="141"/>
    </row>
    <row r="193" spans="1:5" s="15" customFormat="1" ht="17.850000000000001" hidden="1" customHeight="1" outlineLevel="4">
      <c r="A193" s="70" t="s">
        <v>584</v>
      </c>
      <c r="B193" s="139">
        <f>602.043*(1.3/71)</f>
        <v>11.023322535211268</v>
      </c>
      <c r="C193" s="148" t="s">
        <v>1251</v>
      </c>
      <c r="D193" s="139">
        <v>0.55127323943661977</v>
      </c>
      <c r="E193" s="144" t="s">
        <v>141</v>
      </c>
    </row>
    <row r="194" spans="1:5" s="15" customFormat="1" ht="32.85" hidden="1" customHeight="1" outlineLevel="4">
      <c r="A194" s="70" t="s">
        <v>585</v>
      </c>
      <c r="B194" s="139">
        <f>602.043*(1.3/71)</f>
        <v>11.023322535211268</v>
      </c>
      <c r="C194" s="148" t="s">
        <v>1251</v>
      </c>
      <c r="D194" s="139">
        <v>0.55127323943661977</v>
      </c>
      <c r="E194" s="144" t="s">
        <v>141</v>
      </c>
    </row>
    <row r="195" spans="1:5" s="15" customFormat="1" ht="17.850000000000001" hidden="1" customHeight="1" outlineLevel="4">
      <c r="A195" s="70" t="s">
        <v>586</v>
      </c>
      <c r="B195" s="139">
        <f>602.043*(1.3/71)</f>
        <v>11.023322535211268</v>
      </c>
      <c r="C195" s="148" t="s">
        <v>1251</v>
      </c>
      <c r="D195" s="139">
        <v>0.55127323943661977</v>
      </c>
      <c r="E195" s="144" t="s">
        <v>141</v>
      </c>
    </row>
    <row r="196" spans="1:5" s="15" customFormat="1" ht="32.85" hidden="1" customHeight="1" outlineLevel="4">
      <c r="A196" s="70" t="s">
        <v>587</v>
      </c>
      <c r="B196" s="139">
        <f>602.043*(1.3/71)</f>
        <v>11.023322535211268</v>
      </c>
      <c r="C196" s="148" t="s">
        <v>1251</v>
      </c>
      <c r="D196" s="139">
        <v>0.55127323943661977</v>
      </c>
      <c r="E196" s="144" t="s">
        <v>141</v>
      </c>
    </row>
    <row r="197" spans="1:5" s="15" customFormat="1" ht="17.850000000000001" hidden="1" customHeight="1" outlineLevel="4">
      <c r="A197" s="70" t="s">
        <v>588</v>
      </c>
      <c r="B197" s="139">
        <f>401.427*(1.3/71)</f>
        <v>7.3500718309859154</v>
      </c>
      <c r="C197" s="148" t="s">
        <v>1251</v>
      </c>
      <c r="D197" s="139">
        <v>0.49009999999999998</v>
      </c>
      <c r="E197" s="144" t="s">
        <v>141</v>
      </c>
    </row>
    <row r="198" spans="1:5" s="15" customFormat="1" ht="17.850000000000001" hidden="1" customHeight="1" outlineLevel="4">
      <c r="A198" s="70" t="s">
        <v>589</v>
      </c>
      <c r="B198" s="139">
        <f>401.427*(1.3/71)</f>
        <v>7.3500718309859154</v>
      </c>
      <c r="C198" s="148" t="s">
        <v>1251</v>
      </c>
      <c r="D198" s="139">
        <v>0.49009999999999998</v>
      </c>
      <c r="E198" s="144" t="s">
        <v>141</v>
      </c>
    </row>
    <row r="199" spans="1:5" s="15" customFormat="1" ht="17.850000000000001" hidden="1" customHeight="1" outlineLevel="4">
      <c r="A199" s="70" t="s">
        <v>590</v>
      </c>
      <c r="B199" s="139">
        <f>401.427*(1.3/71)</f>
        <v>7.3500718309859154</v>
      </c>
      <c r="C199" s="148" t="s">
        <v>1251</v>
      </c>
      <c r="D199" s="139">
        <v>0.49009999999999998</v>
      </c>
      <c r="E199" s="144" t="s">
        <v>141</v>
      </c>
    </row>
    <row r="200" spans="1:5" s="15" customFormat="1" ht="17.850000000000001" hidden="1" customHeight="1" outlineLevel="4">
      <c r="A200" s="70" t="s">
        <v>591</v>
      </c>
      <c r="B200" s="139">
        <f>401.427*(1.3/71)</f>
        <v>7.3500718309859154</v>
      </c>
      <c r="C200" s="148" t="s">
        <v>1251</v>
      </c>
      <c r="D200" s="139">
        <v>0.49009999999999998</v>
      </c>
      <c r="E200" s="144" t="s">
        <v>141</v>
      </c>
    </row>
    <row r="201" spans="1:5" s="16" customFormat="1" ht="16.350000000000001" hidden="1" customHeight="1" outlineLevel="3" collapsed="1">
      <c r="A201" s="22" t="s">
        <v>592</v>
      </c>
      <c r="B201" s="21"/>
      <c r="C201" s="21"/>
      <c r="D201" s="21"/>
      <c r="E201" s="141"/>
    </row>
    <row r="202" spans="1:5" s="15" customFormat="1" ht="17.850000000000001" hidden="1" customHeight="1" outlineLevel="4">
      <c r="A202" s="70" t="s">
        <v>593</v>
      </c>
      <c r="B202" s="139">
        <f>1244.88*(1.3/71)</f>
        <v>22.793577464788733</v>
      </c>
      <c r="C202" s="148" t="s">
        <v>1251</v>
      </c>
      <c r="D202" s="139">
        <v>1.1396788732394367</v>
      </c>
      <c r="E202" s="144" t="s">
        <v>141</v>
      </c>
    </row>
    <row r="203" spans="1:5" s="15" customFormat="1" ht="17.850000000000001" hidden="1" customHeight="1" outlineLevel="4">
      <c r="A203" s="70" t="s">
        <v>594</v>
      </c>
      <c r="B203" s="139">
        <f>1561.56*(1.3/71)</f>
        <v>28.591943661971833</v>
      </c>
      <c r="C203" s="148" t="s">
        <v>1251</v>
      </c>
      <c r="D203" s="139">
        <v>0.71479859154929581</v>
      </c>
      <c r="E203" s="144" t="s">
        <v>141</v>
      </c>
    </row>
    <row r="204" spans="1:5" s="15" customFormat="1" ht="17.850000000000001" hidden="1" customHeight="1" outlineLevel="4">
      <c r="A204" s="70" t="s">
        <v>595</v>
      </c>
      <c r="B204" s="139">
        <f>1500.408*(1.3/71)</f>
        <v>27.472259154929581</v>
      </c>
      <c r="C204" s="148" t="s">
        <v>1251</v>
      </c>
      <c r="D204" s="139">
        <v>1.3736605633802819</v>
      </c>
      <c r="E204" s="144" t="s">
        <v>141</v>
      </c>
    </row>
    <row r="205" spans="1:5" s="15" customFormat="1" ht="17.850000000000001" hidden="1" customHeight="1" outlineLevel="4">
      <c r="A205" s="70" t="s">
        <v>596</v>
      </c>
      <c r="B205" s="139">
        <f>1117.935*(1.3/71)</f>
        <v>20.469232394366202</v>
      </c>
      <c r="C205" s="148" t="s">
        <v>1251</v>
      </c>
      <c r="D205" s="139">
        <v>0.68242676056338025</v>
      </c>
      <c r="E205" s="144" t="s">
        <v>141</v>
      </c>
    </row>
    <row r="206" spans="1:5" s="15" customFormat="1" ht="17.850000000000001" hidden="1" customHeight="1" outlineLevel="4">
      <c r="A206" s="70" t="s">
        <v>597</v>
      </c>
      <c r="B206" s="139">
        <f>1052.623*(1.3/71)</f>
        <v>19.273378873239437</v>
      </c>
      <c r="C206" s="148" t="s">
        <v>1251</v>
      </c>
      <c r="D206" s="139">
        <v>1.2848760563380281</v>
      </c>
      <c r="E206" s="144" t="s">
        <v>141</v>
      </c>
    </row>
    <row r="207" spans="1:5" s="16" customFormat="1" ht="16.350000000000001" hidden="1" customHeight="1" outlineLevel="3" collapsed="1">
      <c r="A207" s="22" t="s">
        <v>598</v>
      </c>
      <c r="B207" s="21"/>
      <c r="C207" s="21"/>
      <c r="D207" s="21"/>
      <c r="E207" s="141"/>
    </row>
    <row r="208" spans="1:5" s="15" customFormat="1" ht="17.850000000000001" hidden="1" customHeight="1" outlineLevel="4">
      <c r="A208" s="70" t="s">
        <v>599</v>
      </c>
      <c r="B208" s="139">
        <f>487.682*(1.3/71)</f>
        <v>8.9293887323943668</v>
      </c>
      <c r="C208" s="148" t="s">
        <v>1251</v>
      </c>
      <c r="D208" s="139">
        <v>0.22327042253521129</v>
      </c>
      <c r="E208" s="144" t="s">
        <v>141</v>
      </c>
    </row>
    <row r="209" spans="1:5" s="15" customFormat="1" ht="17.850000000000001" hidden="1" customHeight="1" outlineLevel="4">
      <c r="A209" s="70" t="s">
        <v>600</v>
      </c>
      <c r="B209" s="139">
        <f>577.395*(1.3/71)</f>
        <v>10.572021126760562</v>
      </c>
      <c r="C209" s="148" t="s">
        <v>1250</v>
      </c>
      <c r="D209" s="139">
        <v>0.35251971830985918</v>
      </c>
      <c r="E209" s="144" t="s">
        <v>141</v>
      </c>
    </row>
    <row r="210" spans="1:5" s="15" customFormat="1" ht="17.850000000000001" hidden="1" customHeight="1" outlineLevel="4">
      <c r="A210" s="70" t="s">
        <v>601</v>
      </c>
      <c r="B210" s="139">
        <f>378.339*(1.3/71)</f>
        <v>6.9273338028169009</v>
      </c>
      <c r="C210" s="148" t="s">
        <v>1250</v>
      </c>
      <c r="D210" s="139">
        <v>0.23088732394366199</v>
      </c>
      <c r="E210" s="144" t="s">
        <v>141</v>
      </c>
    </row>
    <row r="211" spans="1:5" s="15" customFormat="1" ht="17.850000000000001" hidden="1" customHeight="1" outlineLevel="4">
      <c r="A211" s="70" t="s">
        <v>602</v>
      </c>
      <c r="B211" s="139">
        <f>520.065*(1.3/71)</f>
        <v>9.5223169014084519</v>
      </c>
      <c r="C211" s="148" t="s">
        <v>1250</v>
      </c>
      <c r="D211" s="139">
        <v>0.31752957746478871</v>
      </c>
      <c r="E211" s="144" t="s">
        <v>141</v>
      </c>
    </row>
    <row r="212" spans="1:5" s="16" customFormat="1" ht="16.350000000000001" hidden="1" customHeight="1" outlineLevel="3" collapsed="1">
      <c r="A212" s="22" t="s">
        <v>603</v>
      </c>
      <c r="B212" s="21"/>
      <c r="C212" s="21"/>
      <c r="D212" s="21"/>
      <c r="E212" s="141"/>
    </row>
    <row r="213" spans="1:5" s="15" customFormat="1" ht="17.850000000000001" hidden="1" customHeight="1" outlineLevel="4">
      <c r="A213" s="70" t="s">
        <v>604</v>
      </c>
      <c r="B213" s="139">
        <f>927.108*(1.3/71)</f>
        <v>16.975216901408448</v>
      </c>
      <c r="C213" s="148" t="s">
        <v>1251</v>
      </c>
      <c r="D213" s="139">
        <v>0.56579295774647886</v>
      </c>
      <c r="E213" s="144" t="s">
        <v>141</v>
      </c>
    </row>
    <row r="214" spans="1:5" s="15" customFormat="1" ht="17.850000000000001" hidden="1" customHeight="1" outlineLevel="4">
      <c r="A214" s="70" t="s">
        <v>605</v>
      </c>
      <c r="B214" s="139">
        <f>1163.396*(1.3/71)</f>
        <v>21.301616901408451</v>
      </c>
      <c r="C214" s="148" t="s">
        <v>1251</v>
      </c>
      <c r="D214" s="139">
        <v>0.71003802816901396</v>
      </c>
      <c r="E214" s="144" t="s">
        <v>141</v>
      </c>
    </row>
    <row r="215" spans="1:5" s="15" customFormat="1" ht="17.850000000000001" hidden="1" customHeight="1" outlineLevel="4">
      <c r="A215" s="70" t="s">
        <v>606</v>
      </c>
      <c r="B215" s="139">
        <f>1215.396*(1.3/71)</f>
        <v>22.253729577464789</v>
      </c>
      <c r="C215" s="148" t="s">
        <v>1251</v>
      </c>
      <c r="D215" s="139">
        <v>0.74169577464788738</v>
      </c>
      <c r="E215" s="144" t="s">
        <v>141</v>
      </c>
    </row>
    <row r="216" spans="1:5" s="15" customFormat="1" ht="17.850000000000001" hidden="1" customHeight="1" outlineLevel="4">
      <c r="A216" s="70" t="s">
        <v>607</v>
      </c>
      <c r="B216" s="139">
        <f>1357.499*(1.3/71)</f>
        <v>24.855615492957746</v>
      </c>
      <c r="C216" s="148" t="s">
        <v>1251</v>
      </c>
      <c r="D216" s="139">
        <v>0.82857605633802833</v>
      </c>
      <c r="E216" s="144" t="s">
        <v>141</v>
      </c>
    </row>
    <row r="217" spans="1:5" s="15" customFormat="1" ht="17.850000000000001" hidden="1" customHeight="1" outlineLevel="4">
      <c r="A217" s="70" t="s">
        <v>608</v>
      </c>
      <c r="B217" s="139">
        <f>1187.147*(1.3/71)</f>
        <v>21.736494366197185</v>
      </c>
      <c r="C217" s="148" t="s">
        <v>1251</v>
      </c>
      <c r="D217" s="139">
        <v>0.72455774647887328</v>
      </c>
      <c r="E217" s="144" t="s">
        <v>141</v>
      </c>
    </row>
    <row r="218" spans="1:5" s="15" customFormat="1" ht="17.850000000000001" hidden="1" customHeight="1" outlineLevel="4">
      <c r="A218" s="70" t="s">
        <v>609</v>
      </c>
      <c r="B218" s="139">
        <f>1324.323*(1.3/71)</f>
        <v>24.248167605633803</v>
      </c>
      <c r="C218" s="148" t="s">
        <v>1251</v>
      </c>
      <c r="D218" s="139">
        <v>0.80834366197183116</v>
      </c>
      <c r="E218" s="144" t="s">
        <v>141</v>
      </c>
    </row>
    <row r="219" spans="1:5" s="15" customFormat="1" ht="17.850000000000001" hidden="1" customHeight="1" outlineLevel="4">
      <c r="A219" s="70" t="s">
        <v>610</v>
      </c>
      <c r="B219" s="139">
        <f>874.042*(1.3/71)</f>
        <v>16.003585915492959</v>
      </c>
      <c r="C219" s="148" t="s">
        <v>1251</v>
      </c>
      <c r="D219" s="139">
        <v>0.66671690140845086</v>
      </c>
      <c r="E219" s="144" t="s">
        <v>141</v>
      </c>
    </row>
    <row r="220" spans="1:5" s="15" customFormat="1" ht="17.850000000000001" hidden="1" customHeight="1" outlineLevel="4">
      <c r="A220" s="70" t="s">
        <v>611</v>
      </c>
      <c r="B220" s="139">
        <f>893.035*(1.3/71)</f>
        <v>16.351345070422536</v>
      </c>
      <c r="C220" s="148" t="s">
        <v>1251</v>
      </c>
      <c r="D220" s="139">
        <v>0.68123661971830984</v>
      </c>
      <c r="E220" s="144" t="s">
        <v>141</v>
      </c>
    </row>
    <row r="221" spans="1:5" s="15" customFormat="1" ht="17.850000000000001" hidden="1" customHeight="1" outlineLevel="4">
      <c r="A221" s="70" t="s">
        <v>612</v>
      </c>
      <c r="B221" s="139">
        <f>866.502*(1.3/71)</f>
        <v>15.865529577464788</v>
      </c>
      <c r="C221" s="148" t="s">
        <v>1251</v>
      </c>
      <c r="D221" s="139">
        <v>0.66100422535211267</v>
      </c>
      <c r="E221" s="144" t="s">
        <v>141</v>
      </c>
    </row>
    <row r="222" spans="1:5" s="15" customFormat="1" ht="17.850000000000001" hidden="1" customHeight="1" outlineLevel="4">
      <c r="A222" s="70" t="s">
        <v>613</v>
      </c>
      <c r="B222" s="139">
        <f>1059.461*(1.3/71)</f>
        <v>19.398581690140844</v>
      </c>
      <c r="C222" s="148" t="s">
        <v>1251</v>
      </c>
      <c r="D222" s="139">
        <v>0.80834366197183116</v>
      </c>
      <c r="E222" s="144" t="s">
        <v>141</v>
      </c>
    </row>
    <row r="223" spans="1:5" s="16" customFormat="1" ht="16.350000000000001" hidden="1" customHeight="1" outlineLevel="3" collapsed="1">
      <c r="A223" s="22" t="s">
        <v>614</v>
      </c>
      <c r="B223" s="21"/>
      <c r="C223" s="21"/>
      <c r="D223" s="21"/>
      <c r="E223" s="141"/>
    </row>
    <row r="224" spans="1:5" s="15" customFormat="1" ht="17.850000000000001" hidden="1" customHeight="1" outlineLevel="4">
      <c r="A224" s="70" t="s">
        <v>615</v>
      </c>
      <c r="B224" s="139">
        <f>1224.405*(1.3/71)</f>
        <v>22.418683098591547</v>
      </c>
      <c r="C224" s="148" t="s">
        <v>1251</v>
      </c>
      <c r="D224" s="139">
        <v>0.74740845070422535</v>
      </c>
      <c r="E224" s="144" t="s">
        <v>141</v>
      </c>
    </row>
    <row r="225" spans="1:5" s="15" customFormat="1" ht="32.85" hidden="1" customHeight="1" outlineLevel="4">
      <c r="A225" s="70" t="s">
        <v>616</v>
      </c>
      <c r="B225" s="139">
        <f>1006.876*(1.3/71)</f>
        <v>18.435757746478874</v>
      </c>
      <c r="C225" s="148" t="s">
        <v>1251</v>
      </c>
      <c r="D225" s="139">
        <v>1.5362338028169018</v>
      </c>
      <c r="E225" s="144" t="s">
        <v>141</v>
      </c>
    </row>
    <row r="226" spans="1:5" s="15" customFormat="1" ht="32.85" hidden="1" customHeight="1" outlineLevel="4">
      <c r="A226" s="70" t="s">
        <v>617</v>
      </c>
      <c r="B226" s="139">
        <f>1006.876*(1.3/71)</f>
        <v>18.435757746478874</v>
      </c>
      <c r="C226" s="148" t="s">
        <v>1251</v>
      </c>
      <c r="D226" s="139">
        <v>1.5362338028169018</v>
      </c>
      <c r="E226" s="144" t="s">
        <v>141</v>
      </c>
    </row>
    <row r="227" spans="1:5" s="15" customFormat="1" ht="32.85" hidden="1" customHeight="1" outlineLevel="4">
      <c r="A227" s="70" t="s">
        <v>618</v>
      </c>
      <c r="B227" s="139">
        <f>1386.112*(1.3/71)</f>
        <v>25.379515492957747</v>
      </c>
      <c r="C227" s="148" t="s">
        <v>1251</v>
      </c>
      <c r="D227" s="139">
        <v>1.4100788732394367</v>
      </c>
      <c r="E227" s="144" t="s">
        <v>141</v>
      </c>
    </row>
    <row r="228" spans="1:5" s="15" customFormat="1" ht="32.85" hidden="1" customHeight="1" outlineLevel="4">
      <c r="A228" s="70" t="s">
        <v>619</v>
      </c>
      <c r="B228" s="139">
        <f>1356.511*(1.3/71)</f>
        <v>24.837525352112678</v>
      </c>
      <c r="C228" s="148" t="s">
        <v>1251</v>
      </c>
      <c r="D228" s="139">
        <v>1.379849295774648</v>
      </c>
      <c r="E228" s="144" t="s">
        <v>141</v>
      </c>
    </row>
    <row r="229" spans="1:5" s="15" customFormat="1" ht="17.850000000000001" hidden="1" customHeight="1" outlineLevel="4">
      <c r="A229" s="70" t="s">
        <v>620</v>
      </c>
      <c r="B229" s="139">
        <f t="shared" ref="B229:B234" si="8">717.444*(1.3/71)</f>
        <v>13.136298591549297</v>
      </c>
      <c r="C229" s="148" t="s">
        <v>1251</v>
      </c>
      <c r="D229" s="139">
        <v>1.0946915492957749</v>
      </c>
      <c r="E229" s="144" t="s">
        <v>141</v>
      </c>
    </row>
    <row r="230" spans="1:5" s="15" customFormat="1" ht="17.850000000000001" hidden="1" customHeight="1" outlineLevel="4">
      <c r="A230" s="70" t="s">
        <v>621</v>
      </c>
      <c r="B230" s="139">
        <f t="shared" si="8"/>
        <v>13.136298591549297</v>
      </c>
      <c r="C230" s="148" t="s">
        <v>1251</v>
      </c>
      <c r="D230" s="139">
        <v>1.0946915492957749</v>
      </c>
      <c r="E230" s="144" t="s">
        <v>141</v>
      </c>
    </row>
    <row r="231" spans="1:5" s="15" customFormat="1" ht="17.850000000000001" hidden="1" customHeight="1" outlineLevel="4">
      <c r="A231" s="70" t="s">
        <v>622</v>
      </c>
      <c r="B231" s="139">
        <f t="shared" si="8"/>
        <v>13.136298591549297</v>
      </c>
      <c r="C231" s="148" t="s">
        <v>1251</v>
      </c>
      <c r="D231" s="139">
        <v>1.0946915492957749</v>
      </c>
      <c r="E231" s="144" t="s">
        <v>141</v>
      </c>
    </row>
    <row r="232" spans="1:5" s="15" customFormat="1" ht="17.850000000000001" hidden="1" customHeight="1" outlineLevel="4">
      <c r="A232" s="70" t="s">
        <v>623</v>
      </c>
      <c r="B232" s="139">
        <f t="shared" si="8"/>
        <v>13.136298591549297</v>
      </c>
      <c r="C232" s="148" t="s">
        <v>1251</v>
      </c>
      <c r="D232" s="139">
        <v>1.0946915492957749</v>
      </c>
      <c r="E232" s="144" t="s">
        <v>141</v>
      </c>
    </row>
    <row r="233" spans="1:5" s="15" customFormat="1" ht="32.85" hidden="1" customHeight="1" outlineLevel="4">
      <c r="A233" s="70" t="s">
        <v>624</v>
      </c>
      <c r="B233" s="139">
        <f t="shared" si="8"/>
        <v>13.136298591549297</v>
      </c>
      <c r="C233" s="148" t="s">
        <v>1251</v>
      </c>
      <c r="D233" s="139">
        <v>1.0946915492957749</v>
      </c>
      <c r="E233" s="144" t="s">
        <v>141</v>
      </c>
    </row>
    <row r="234" spans="1:5" s="15" customFormat="1" ht="17.850000000000001" hidden="1" customHeight="1" outlineLevel="4">
      <c r="A234" s="70" t="s">
        <v>625</v>
      </c>
      <c r="B234" s="139">
        <f t="shared" si="8"/>
        <v>13.136298591549297</v>
      </c>
      <c r="C234" s="148" t="s">
        <v>1251</v>
      </c>
      <c r="D234" s="139">
        <v>1.0946915492957749</v>
      </c>
      <c r="E234" s="144" t="s">
        <v>141</v>
      </c>
    </row>
    <row r="235" spans="1:5" s="15" customFormat="1" ht="17.850000000000001" hidden="1" customHeight="1" outlineLevel="4">
      <c r="A235" s="70" t="s">
        <v>626</v>
      </c>
      <c r="B235" s="139">
        <f>929.513*(1.3/71)</f>
        <v>17.019252112676057</v>
      </c>
      <c r="C235" s="148" t="s">
        <v>1251</v>
      </c>
      <c r="D235" s="139">
        <v>1.2156098591549298</v>
      </c>
      <c r="E235" s="144" t="s">
        <v>141</v>
      </c>
    </row>
    <row r="236" spans="1:5" s="15" customFormat="1" ht="17.850000000000001" hidden="1" customHeight="1" outlineLevel="4">
      <c r="A236" s="70" t="s">
        <v>627</v>
      </c>
      <c r="B236" s="139">
        <f>1380.067*(1.3/71)</f>
        <v>25.268832394366196</v>
      </c>
      <c r="C236" s="148" t="s">
        <v>1251</v>
      </c>
      <c r="D236" s="139">
        <v>1.5793169014084507</v>
      </c>
      <c r="E236" s="144" t="s">
        <v>141</v>
      </c>
    </row>
    <row r="237" spans="1:5" s="15" customFormat="1" ht="17.850000000000001" hidden="1" customHeight="1" outlineLevel="4">
      <c r="A237" s="70" t="s">
        <v>628</v>
      </c>
      <c r="B237" s="139">
        <f>977.483*(1.3/71)</f>
        <v>17.897576056338028</v>
      </c>
      <c r="C237" s="148" t="s">
        <v>1251</v>
      </c>
      <c r="D237" s="139">
        <v>1.2784492957746481</v>
      </c>
      <c r="E237" s="144" t="s">
        <v>141</v>
      </c>
    </row>
    <row r="238" spans="1:5" s="15" customFormat="1" ht="17.850000000000001" hidden="1" customHeight="1" outlineLevel="4">
      <c r="A238" s="70" t="s">
        <v>629</v>
      </c>
      <c r="B238" s="139">
        <f>977.483*(1.3/71)</f>
        <v>17.897576056338028</v>
      </c>
      <c r="C238" s="148" t="s">
        <v>1251</v>
      </c>
      <c r="D238" s="139">
        <v>1.2784492957746481</v>
      </c>
      <c r="E238" s="144" t="s">
        <v>141</v>
      </c>
    </row>
    <row r="239" spans="1:5" s="15" customFormat="1" ht="17.850000000000001" hidden="1" customHeight="1" outlineLevel="4">
      <c r="A239" s="70" t="s">
        <v>630</v>
      </c>
      <c r="B239" s="139">
        <f>977.483*(1.3/71)</f>
        <v>17.897576056338028</v>
      </c>
      <c r="C239" s="148" t="s">
        <v>1251</v>
      </c>
      <c r="D239" s="139">
        <v>1.2784492957746481</v>
      </c>
      <c r="E239" s="144" t="s">
        <v>141</v>
      </c>
    </row>
    <row r="240" spans="1:5" s="15" customFormat="1" ht="32.85" hidden="1" customHeight="1" outlineLevel="4">
      <c r="A240" s="70" t="s">
        <v>631</v>
      </c>
      <c r="B240" s="139">
        <f>2270.944*(1.3/71)</f>
        <v>41.580664788732399</v>
      </c>
      <c r="C240" s="148" t="s">
        <v>1251</v>
      </c>
      <c r="D240" s="139">
        <v>2.5987915492957754</v>
      </c>
      <c r="E240" s="144" t="s">
        <v>141</v>
      </c>
    </row>
    <row r="241" spans="1:5" s="15" customFormat="1" ht="17.850000000000001" hidden="1" customHeight="1" outlineLevel="4">
      <c r="A241" s="70" t="s">
        <v>632</v>
      </c>
      <c r="B241" s="139">
        <f>1234.285*(1.3/71)</f>
        <v>22.599584507042255</v>
      </c>
      <c r="C241" s="148" t="s">
        <v>1251</v>
      </c>
      <c r="D241" s="139">
        <v>2.824918309859155</v>
      </c>
      <c r="E241" s="144" t="s">
        <v>141</v>
      </c>
    </row>
    <row r="242" spans="1:5" s="15" customFormat="1" ht="17.850000000000001" hidden="1" customHeight="1" outlineLevel="4">
      <c r="A242" s="70" t="s">
        <v>633</v>
      </c>
      <c r="B242" s="139">
        <f>1198.249*(1.3/71)</f>
        <v>21.939770422535211</v>
      </c>
      <c r="C242" s="148" t="s">
        <v>1251</v>
      </c>
      <c r="D242" s="139">
        <v>2.7425605633802816</v>
      </c>
      <c r="E242" s="144" t="s">
        <v>141</v>
      </c>
    </row>
    <row r="243" spans="1:5" s="15" customFormat="1" ht="17.850000000000001" hidden="1" customHeight="1" outlineLevel="4">
      <c r="A243" s="70" t="s">
        <v>634</v>
      </c>
      <c r="B243" s="139">
        <f>1059.955*(1.3/71)</f>
        <v>19.407626760563382</v>
      </c>
      <c r="C243" s="148" t="s">
        <v>1251</v>
      </c>
      <c r="D243" s="139">
        <v>1.6174014084507045</v>
      </c>
      <c r="E243" s="144" t="s">
        <v>141</v>
      </c>
    </row>
    <row r="244" spans="1:5" s="15" customFormat="1" ht="17.850000000000001" hidden="1" customHeight="1" outlineLevel="4">
      <c r="A244" s="70" t="s">
        <v>635</v>
      </c>
      <c r="B244" s="139">
        <f>1059.955*(1.3/71)</f>
        <v>19.407626760563382</v>
      </c>
      <c r="C244" s="148" t="s">
        <v>1251</v>
      </c>
      <c r="D244" s="139">
        <v>1.6174014084507045</v>
      </c>
      <c r="E244" s="144" t="s">
        <v>141</v>
      </c>
    </row>
    <row r="245" spans="1:5" s="16" customFormat="1" ht="16.350000000000001" hidden="1" customHeight="1" outlineLevel="3" collapsed="1">
      <c r="A245" s="22" t="s">
        <v>636</v>
      </c>
      <c r="B245" s="21"/>
      <c r="C245" s="21"/>
      <c r="D245" s="21"/>
      <c r="E245" s="141"/>
    </row>
    <row r="246" spans="1:5" s="15" customFormat="1" ht="17.850000000000001" hidden="1" customHeight="1" outlineLevel="4">
      <c r="A246" s="70" t="s">
        <v>637</v>
      </c>
      <c r="B246" s="139">
        <f>584.766*(1.3/71)</f>
        <v>10.706983098591548</v>
      </c>
      <c r="C246" s="148" t="s">
        <v>1251</v>
      </c>
      <c r="D246" s="139">
        <v>0.71384647887323949</v>
      </c>
      <c r="E246" s="144" t="s">
        <v>141</v>
      </c>
    </row>
    <row r="247" spans="1:5" s="15" customFormat="1" ht="17.850000000000001" hidden="1" customHeight="1" outlineLevel="4">
      <c r="A247" s="70" t="s">
        <v>638</v>
      </c>
      <c r="B247" s="139">
        <f>584.766*(1.3/71)</f>
        <v>10.706983098591548</v>
      </c>
      <c r="C247" s="148" t="s">
        <v>1251</v>
      </c>
      <c r="D247" s="139">
        <v>0.71384647887323949</v>
      </c>
      <c r="E247" s="144" t="s">
        <v>141</v>
      </c>
    </row>
    <row r="248" spans="1:5" s="15" customFormat="1" ht="17.850000000000001" hidden="1" customHeight="1" outlineLevel="4">
      <c r="A248" s="70" t="s">
        <v>639</v>
      </c>
      <c r="B248" s="139">
        <f>584.766*(1.3/71)</f>
        <v>10.706983098591548</v>
      </c>
      <c r="C248" s="148" t="s">
        <v>1251</v>
      </c>
      <c r="D248" s="139">
        <v>0.71384647887323949</v>
      </c>
      <c r="E248" s="144" t="s">
        <v>141</v>
      </c>
    </row>
    <row r="249" spans="1:5" s="15" customFormat="1" ht="17.850000000000001" hidden="1" customHeight="1" outlineLevel="4">
      <c r="A249" s="70" t="s">
        <v>640</v>
      </c>
      <c r="B249" s="139">
        <f>584.766*(1.3/71)</f>
        <v>10.706983098591548</v>
      </c>
      <c r="C249" s="148" t="s">
        <v>1251</v>
      </c>
      <c r="D249" s="139">
        <v>0.71384647887323949</v>
      </c>
      <c r="E249" s="144" t="s">
        <v>141</v>
      </c>
    </row>
    <row r="250" spans="1:5" s="15" customFormat="1" ht="17.850000000000001" hidden="1" customHeight="1" outlineLevel="4">
      <c r="A250" s="70" t="s">
        <v>641</v>
      </c>
      <c r="B250" s="139">
        <f>584.766*(1.3/71)</f>
        <v>10.706983098591548</v>
      </c>
      <c r="C250" s="148" t="s">
        <v>1251</v>
      </c>
      <c r="D250" s="139">
        <v>0.71384647887323949</v>
      </c>
      <c r="E250" s="144" t="s">
        <v>141</v>
      </c>
    </row>
    <row r="251" spans="1:5" s="15" customFormat="1" ht="17.850000000000001" hidden="1" customHeight="1" outlineLevel="4">
      <c r="A251" s="70" t="s">
        <v>642</v>
      </c>
      <c r="B251" s="139">
        <f t="shared" ref="B251:B258" si="9">714.246*(1.3/71)</f>
        <v>13.07774366197183</v>
      </c>
      <c r="C251" s="148" t="s">
        <v>1251</v>
      </c>
      <c r="D251" s="139">
        <v>2.179623943661972</v>
      </c>
      <c r="E251" s="144" t="s">
        <v>141</v>
      </c>
    </row>
    <row r="252" spans="1:5" s="15" customFormat="1" ht="17.850000000000001" hidden="1" customHeight="1" outlineLevel="4">
      <c r="A252" s="70" t="s">
        <v>643</v>
      </c>
      <c r="B252" s="139">
        <f t="shared" si="9"/>
        <v>13.07774366197183</v>
      </c>
      <c r="C252" s="148" t="s">
        <v>1251</v>
      </c>
      <c r="D252" s="139">
        <v>2.179623943661972</v>
      </c>
      <c r="E252" s="144" t="s">
        <v>141</v>
      </c>
    </row>
    <row r="253" spans="1:5" s="15" customFormat="1" ht="17.850000000000001" hidden="1" customHeight="1" outlineLevel="4">
      <c r="A253" s="70" t="s">
        <v>644</v>
      </c>
      <c r="B253" s="139">
        <f t="shared" si="9"/>
        <v>13.07774366197183</v>
      </c>
      <c r="C253" s="148" t="s">
        <v>1251</v>
      </c>
      <c r="D253" s="139">
        <v>2.179623943661972</v>
      </c>
      <c r="E253" s="144" t="s">
        <v>141</v>
      </c>
    </row>
    <row r="254" spans="1:5" s="15" customFormat="1" ht="17.850000000000001" hidden="1" customHeight="1" outlineLevel="4">
      <c r="A254" s="70" t="s">
        <v>645</v>
      </c>
      <c r="B254" s="139">
        <f t="shared" si="9"/>
        <v>13.07774366197183</v>
      </c>
      <c r="C254" s="148" t="s">
        <v>1251</v>
      </c>
      <c r="D254" s="139">
        <v>2.179623943661972</v>
      </c>
      <c r="E254" s="144" t="s">
        <v>141</v>
      </c>
    </row>
    <row r="255" spans="1:5" s="15" customFormat="1" ht="17.850000000000001" hidden="1" customHeight="1" outlineLevel="4">
      <c r="A255" s="70" t="s">
        <v>646</v>
      </c>
      <c r="B255" s="139">
        <f t="shared" si="9"/>
        <v>13.07774366197183</v>
      </c>
      <c r="C255" s="148" t="s">
        <v>1251</v>
      </c>
      <c r="D255" s="139">
        <v>2.179623943661972</v>
      </c>
      <c r="E255" s="144" t="s">
        <v>141</v>
      </c>
    </row>
    <row r="256" spans="1:5" s="15" customFormat="1" ht="17.850000000000001" hidden="1" customHeight="1" outlineLevel="4">
      <c r="A256" s="70" t="s">
        <v>647</v>
      </c>
      <c r="B256" s="139">
        <f t="shared" si="9"/>
        <v>13.07774366197183</v>
      </c>
      <c r="C256" s="148" t="s">
        <v>1251</v>
      </c>
      <c r="D256" s="139">
        <v>2.179623943661972</v>
      </c>
      <c r="E256" s="144" t="s">
        <v>141</v>
      </c>
    </row>
    <row r="257" spans="1:5" s="15" customFormat="1" ht="17.850000000000001" hidden="1" customHeight="1" outlineLevel="4">
      <c r="A257" s="70" t="s">
        <v>648</v>
      </c>
      <c r="B257" s="139">
        <f t="shared" si="9"/>
        <v>13.07774366197183</v>
      </c>
      <c r="C257" s="148" t="s">
        <v>1251</v>
      </c>
      <c r="D257" s="139">
        <v>2.179623943661972</v>
      </c>
      <c r="E257" s="144" t="s">
        <v>141</v>
      </c>
    </row>
    <row r="258" spans="1:5" s="15" customFormat="1" ht="17.850000000000001" hidden="1" customHeight="1" outlineLevel="4">
      <c r="A258" s="70" t="s">
        <v>649</v>
      </c>
      <c r="B258" s="139">
        <f t="shared" si="9"/>
        <v>13.07774366197183</v>
      </c>
      <c r="C258" s="148" t="s">
        <v>1251</v>
      </c>
      <c r="D258" s="139">
        <v>2.179623943661972</v>
      </c>
      <c r="E258" s="144" t="s">
        <v>141</v>
      </c>
    </row>
    <row r="259" spans="1:5" s="16" customFormat="1" ht="16.350000000000001" hidden="1" customHeight="1" outlineLevel="3" collapsed="1">
      <c r="A259" s="22" t="s">
        <v>650</v>
      </c>
      <c r="B259" s="21"/>
      <c r="C259" s="21"/>
      <c r="D259" s="21"/>
      <c r="E259" s="141"/>
    </row>
    <row r="260" spans="1:5" s="15" customFormat="1" ht="32.85" hidden="1" customHeight="1" outlineLevel="4">
      <c r="A260" s="70" t="s">
        <v>651</v>
      </c>
      <c r="B260" s="139">
        <f>1552.33*(1.3/71)</f>
        <v>28.422943661971829</v>
      </c>
      <c r="C260" s="148" t="s">
        <v>1251</v>
      </c>
      <c r="D260" s="139">
        <v>2.3686183098591549</v>
      </c>
      <c r="E260" s="144" t="s">
        <v>141</v>
      </c>
    </row>
    <row r="261" spans="1:5" s="15" customFormat="1" ht="17.850000000000001" hidden="1" customHeight="1" outlineLevel="4">
      <c r="A261" s="70" t="s">
        <v>652</v>
      </c>
      <c r="B261" s="139">
        <f>2323.334*(1.3/71)</f>
        <v>42.539918309859161</v>
      </c>
      <c r="C261" s="148" t="s">
        <v>1251</v>
      </c>
      <c r="D261" s="139">
        <v>3.5449535211267609</v>
      </c>
      <c r="E261" s="144" t="s">
        <v>141</v>
      </c>
    </row>
    <row r="262" spans="1:5" s="15" customFormat="1" ht="17.850000000000001" hidden="1" customHeight="1" outlineLevel="4">
      <c r="A262" s="70" t="s">
        <v>653</v>
      </c>
      <c r="B262" s="139">
        <f>1451.268*(1.3/71)</f>
        <v>26.572512676056338</v>
      </c>
      <c r="C262" s="148" t="s">
        <v>1251</v>
      </c>
      <c r="D262" s="139">
        <v>2.2143760563380286</v>
      </c>
      <c r="E262" s="144" t="s">
        <v>141</v>
      </c>
    </row>
    <row r="263" spans="1:5" s="15" customFormat="1" ht="17.850000000000001" hidden="1" customHeight="1" outlineLevel="4">
      <c r="A263" s="70" t="s">
        <v>654</v>
      </c>
      <c r="B263" s="139">
        <f>2122.523*(1.3/71)</f>
        <v>38.863097183098596</v>
      </c>
      <c r="C263" s="148" t="s">
        <v>1251</v>
      </c>
      <c r="D263" s="139">
        <v>3.2386112676056342</v>
      </c>
      <c r="E263" s="144" t="s">
        <v>141</v>
      </c>
    </row>
    <row r="264" spans="1:5" s="15" customFormat="1" ht="17.850000000000001" hidden="1" customHeight="1" outlineLevel="4">
      <c r="A264" s="70" t="s">
        <v>655</v>
      </c>
      <c r="B264" s="139">
        <f>2293.369*(1.3/71)</f>
        <v>41.991263380281694</v>
      </c>
      <c r="C264" s="148" t="s">
        <v>1251</v>
      </c>
      <c r="D264" s="139">
        <v>3.4992521126760563</v>
      </c>
      <c r="E264" s="144" t="s">
        <v>141</v>
      </c>
    </row>
    <row r="265" spans="1:5" s="15" customFormat="1" ht="32.85" hidden="1" customHeight="1" outlineLevel="4">
      <c r="A265" s="70" t="s">
        <v>656</v>
      </c>
      <c r="B265" s="139">
        <f>1512.199*(1.3/71)</f>
        <v>27.688150704225354</v>
      </c>
      <c r="C265" s="148" t="s">
        <v>1251</v>
      </c>
      <c r="D265" s="139">
        <v>2.3074450704225353</v>
      </c>
      <c r="E265" s="144" t="s">
        <v>141</v>
      </c>
    </row>
    <row r="266" spans="1:5" s="15" customFormat="1" ht="32.85" hidden="1" customHeight="1" outlineLevel="4">
      <c r="A266" s="70" t="s">
        <v>657</v>
      </c>
      <c r="B266" s="139">
        <f>2293.369*(1.3/71)</f>
        <v>41.991263380281694</v>
      </c>
      <c r="C266" s="148" t="s">
        <v>1251</v>
      </c>
      <c r="D266" s="139">
        <v>3.4992521126760563</v>
      </c>
      <c r="E266" s="144" t="s">
        <v>141</v>
      </c>
    </row>
    <row r="267" spans="1:5" s="15" customFormat="1" ht="17.850000000000001" hidden="1" customHeight="1" outlineLevel="4">
      <c r="A267" s="70" t="s">
        <v>658</v>
      </c>
      <c r="B267" s="139">
        <f>1186.406*(1.3/71)</f>
        <v>21.722926760563379</v>
      </c>
      <c r="C267" s="148" t="s">
        <v>1251</v>
      </c>
      <c r="D267" s="139">
        <v>1.8102042253521125</v>
      </c>
      <c r="E267" s="144" t="s">
        <v>141</v>
      </c>
    </row>
    <row r="268" spans="1:5" s="15" customFormat="1" ht="17.850000000000001" hidden="1" customHeight="1" outlineLevel="4">
      <c r="A268" s="70" t="s">
        <v>659</v>
      </c>
      <c r="B268" s="139">
        <f>1186.406*(1.3/71)</f>
        <v>21.722926760563379</v>
      </c>
      <c r="C268" s="148" t="s">
        <v>1251</v>
      </c>
      <c r="D268" s="139">
        <v>1.8102042253521125</v>
      </c>
      <c r="E268" s="144" t="s">
        <v>141</v>
      </c>
    </row>
    <row r="269" spans="1:5" s="15" customFormat="1" ht="17.850000000000001" hidden="1" customHeight="1" outlineLevel="4">
      <c r="A269" s="70" t="s">
        <v>660</v>
      </c>
      <c r="B269" s="139">
        <f>1186.406*(1.3/71)</f>
        <v>21.722926760563379</v>
      </c>
      <c r="C269" s="148" t="s">
        <v>1251</v>
      </c>
      <c r="D269" s="139">
        <v>1.8102042253521125</v>
      </c>
      <c r="E269" s="144" t="s">
        <v>141</v>
      </c>
    </row>
    <row r="270" spans="1:5" s="15" customFormat="1" ht="32.85" hidden="1" customHeight="1" outlineLevel="4">
      <c r="A270" s="70" t="s">
        <v>661</v>
      </c>
      <c r="B270" s="139">
        <f>885.17*(1.3/71)</f>
        <v>16.207338028169012</v>
      </c>
      <c r="C270" s="148" t="s">
        <v>1251</v>
      </c>
      <c r="D270" s="139">
        <v>2.0258577464788732</v>
      </c>
      <c r="E270" s="144" t="s">
        <v>141</v>
      </c>
    </row>
    <row r="271" spans="1:5" s="15" customFormat="1" ht="32.85" hidden="1" customHeight="1" outlineLevel="4">
      <c r="A271" s="70" t="s">
        <v>662</v>
      </c>
      <c r="B271" s="139">
        <f>885.17*(1.3/71)</f>
        <v>16.207338028169012</v>
      </c>
      <c r="C271" s="148" t="s">
        <v>1251</v>
      </c>
      <c r="D271" s="139">
        <v>2.0258577464788732</v>
      </c>
      <c r="E271" s="144" t="s">
        <v>141</v>
      </c>
    </row>
    <row r="272" spans="1:5" s="15" customFormat="1" ht="32.85" hidden="1" customHeight="1" outlineLevel="4">
      <c r="A272" s="70" t="s">
        <v>663</v>
      </c>
      <c r="B272" s="139">
        <f>885.17*(1.3/71)</f>
        <v>16.207338028169012</v>
      </c>
      <c r="C272" s="148" t="s">
        <v>1251</v>
      </c>
      <c r="D272" s="139">
        <v>2.0258577464788732</v>
      </c>
      <c r="E272" s="144" t="s">
        <v>141</v>
      </c>
    </row>
    <row r="273" spans="1:5" s="15" customFormat="1" ht="17.850000000000001" hidden="1" customHeight="1" outlineLevel="4">
      <c r="A273" s="70" t="s">
        <v>664</v>
      </c>
      <c r="B273" s="139">
        <f>1144.793*(1.3/71)</f>
        <v>20.960998591549298</v>
      </c>
      <c r="C273" s="148" t="s">
        <v>1251</v>
      </c>
      <c r="D273" s="139">
        <v>1.7466507042253521</v>
      </c>
      <c r="E273" s="144" t="s">
        <v>141</v>
      </c>
    </row>
    <row r="274" spans="1:5" s="15" customFormat="1" ht="17.850000000000001" hidden="1" customHeight="1" outlineLevel="4">
      <c r="A274" s="70" t="s">
        <v>665</v>
      </c>
      <c r="B274" s="139">
        <f>1144.793*(1.3/71)</f>
        <v>20.960998591549298</v>
      </c>
      <c r="C274" s="148" t="s">
        <v>1251</v>
      </c>
      <c r="D274" s="139">
        <v>1.7466507042253521</v>
      </c>
      <c r="E274" s="144" t="s">
        <v>141</v>
      </c>
    </row>
    <row r="275" spans="1:5" s="15" customFormat="1" ht="32.85" hidden="1" customHeight="1" outlineLevel="4">
      <c r="A275" s="70" t="s">
        <v>666</v>
      </c>
      <c r="B275" s="139">
        <f>1381.003*(1.3/71)</f>
        <v>25.285970422535211</v>
      </c>
      <c r="C275" s="148" t="s">
        <v>1251</v>
      </c>
      <c r="D275" s="139">
        <v>2.1072633802816902</v>
      </c>
      <c r="E275" s="144" t="s">
        <v>141</v>
      </c>
    </row>
    <row r="276" spans="1:5" s="15" customFormat="1" ht="32.85" hidden="1" customHeight="1" outlineLevel="4">
      <c r="A276" s="70" t="s">
        <v>667</v>
      </c>
      <c r="B276" s="139">
        <f>1381.003*(1.3/71)</f>
        <v>25.285970422535211</v>
      </c>
      <c r="C276" s="148" t="s">
        <v>1251</v>
      </c>
      <c r="D276" s="139">
        <v>2.1072633802816902</v>
      </c>
      <c r="E276" s="144" t="s">
        <v>141</v>
      </c>
    </row>
    <row r="277" spans="1:5" s="15" customFormat="1" ht="17.850000000000001" hidden="1" customHeight="1" outlineLevel="4">
      <c r="A277" s="70" t="s">
        <v>668</v>
      </c>
      <c r="B277" s="139">
        <f>1405.079*(1.3/71)</f>
        <v>25.726798591549294</v>
      </c>
      <c r="C277" s="148" t="s">
        <v>1251</v>
      </c>
      <c r="D277" s="139">
        <v>2.1439197183098591</v>
      </c>
      <c r="E277" s="144" t="s">
        <v>141</v>
      </c>
    </row>
    <row r="278" spans="1:5" s="15" customFormat="1" ht="17.850000000000001" hidden="1" customHeight="1" outlineLevel="4">
      <c r="A278" s="70" t="s">
        <v>669</v>
      </c>
      <c r="B278" s="139">
        <f>1405.079*(1.3/71)</f>
        <v>25.726798591549294</v>
      </c>
      <c r="C278" s="148" t="s">
        <v>1251</v>
      </c>
      <c r="D278" s="139">
        <v>2.1439197183098591</v>
      </c>
      <c r="E278" s="144" t="s">
        <v>141</v>
      </c>
    </row>
    <row r="279" spans="1:5" s="15" customFormat="1" ht="32.85" hidden="1" customHeight="1" outlineLevel="4">
      <c r="A279" s="70" t="s">
        <v>670</v>
      </c>
      <c r="B279" s="139">
        <f>920.66*(1.3/71)</f>
        <v>16.857154929577465</v>
      </c>
      <c r="C279" s="148" t="s">
        <v>1251</v>
      </c>
      <c r="D279" s="139">
        <v>2.1072633802816902</v>
      </c>
      <c r="E279" s="144" t="s">
        <v>141</v>
      </c>
    </row>
    <row r="280" spans="1:5" s="15" customFormat="1" ht="17.850000000000001" hidden="1" customHeight="1" outlineLevel="4">
      <c r="A280" s="70" t="s">
        <v>671</v>
      </c>
      <c r="B280" s="139">
        <f>1320.059*(1.3/71)</f>
        <v>24.170094366197183</v>
      </c>
      <c r="C280" s="148" t="s">
        <v>1251</v>
      </c>
      <c r="D280" s="139">
        <v>2.0141943661971835</v>
      </c>
      <c r="E280" s="144" t="s">
        <v>141</v>
      </c>
    </row>
    <row r="281" spans="1:5" s="15" customFormat="1" ht="17.850000000000001" hidden="1" customHeight="1" outlineLevel="4">
      <c r="A281" s="70" t="s">
        <v>672</v>
      </c>
      <c r="B281" s="139">
        <f>1320.059*(1.3/71)</f>
        <v>24.170094366197183</v>
      </c>
      <c r="C281" s="148" t="s">
        <v>1251</v>
      </c>
      <c r="D281" s="139">
        <v>2.0141943661971835</v>
      </c>
      <c r="E281" s="144" t="s">
        <v>141</v>
      </c>
    </row>
    <row r="282" spans="1:5" s="15" customFormat="1" ht="17.850000000000001" hidden="1" customHeight="1" outlineLevel="4">
      <c r="A282" s="70" t="s">
        <v>673</v>
      </c>
      <c r="B282" s="139">
        <f>1320.059*(1.3/71)</f>
        <v>24.170094366197183</v>
      </c>
      <c r="C282" s="148" t="s">
        <v>1251</v>
      </c>
      <c r="D282" s="139">
        <v>2.0141943661971835</v>
      </c>
      <c r="E282" s="144" t="s">
        <v>141</v>
      </c>
    </row>
    <row r="283" spans="1:5" s="15" customFormat="1" ht="17.850000000000001" hidden="1" customHeight="1" outlineLevel="4">
      <c r="A283" s="70" t="s">
        <v>674</v>
      </c>
      <c r="B283" s="139">
        <f>1320.059*(1.3/71)</f>
        <v>24.170094366197183</v>
      </c>
      <c r="C283" s="148" t="s">
        <v>1251</v>
      </c>
      <c r="D283" s="139">
        <v>2.0141943661971835</v>
      </c>
      <c r="E283" s="144" t="s">
        <v>141</v>
      </c>
    </row>
    <row r="284" spans="1:5" s="15" customFormat="1" ht="17.850000000000001" hidden="1" customHeight="1" outlineLevel="4">
      <c r="A284" s="70" t="s">
        <v>675</v>
      </c>
      <c r="B284" s="139">
        <f>1451.268*(1.3/71)</f>
        <v>26.572512676056338</v>
      </c>
      <c r="C284" s="148" t="s">
        <v>1251</v>
      </c>
      <c r="D284" s="139">
        <v>2.2143760563380286</v>
      </c>
      <c r="E284" s="144" t="s">
        <v>141</v>
      </c>
    </row>
    <row r="285" spans="1:5" s="15" customFormat="1" ht="17.850000000000001" hidden="1" customHeight="1" outlineLevel="4">
      <c r="A285" s="70" t="s">
        <v>676</v>
      </c>
      <c r="B285" s="139">
        <f>2122.523*(1.3/71)</f>
        <v>38.863097183098596</v>
      </c>
      <c r="C285" s="148" t="s">
        <v>1251</v>
      </c>
      <c r="D285" s="139">
        <v>3.2386112676056342</v>
      </c>
      <c r="E285" s="144" t="s">
        <v>141</v>
      </c>
    </row>
    <row r="286" spans="1:5" s="15" customFormat="1" ht="17.850000000000001" hidden="1" customHeight="1" outlineLevel="4">
      <c r="A286" s="70" t="s">
        <v>677</v>
      </c>
      <c r="B286" s="139">
        <f>1567.566*(1.3/71)</f>
        <v>28.701912676056338</v>
      </c>
      <c r="C286" s="148" t="s">
        <v>1251</v>
      </c>
      <c r="D286" s="139">
        <v>2.3919450704225351</v>
      </c>
      <c r="E286" s="144" t="s">
        <v>141</v>
      </c>
    </row>
    <row r="287" spans="1:5" s="15" customFormat="1" ht="17.850000000000001" hidden="1" customHeight="1" outlineLevel="4">
      <c r="A287" s="70" t="s">
        <v>678</v>
      </c>
      <c r="B287" s="139">
        <f>2323.334*(1.3/71)</f>
        <v>42.539918309859161</v>
      </c>
      <c r="C287" s="148" t="s">
        <v>1251</v>
      </c>
      <c r="D287" s="139">
        <v>3.5449535211267609</v>
      </c>
      <c r="E287" s="144" t="s">
        <v>141</v>
      </c>
    </row>
    <row r="288" spans="1:5" s="15" customFormat="1" ht="17.850000000000001" hidden="1" customHeight="1" outlineLevel="4">
      <c r="A288" s="70" t="s">
        <v>679</v>
      </c>
      <c r="B288" s="139">
        <f>2394.262*(1.3/71)</f>
        <v>43.8386</v>
      </c>
      <c r="C288" s="148" t="s">
        <v>1251</v>
      </c>
      <c r="D288" s="139">
        <v>3.6532563380281693</v>
      </c>
      <c r="E288" s="144" t="s">
        <v>141</v>
      </c>
    </row>
    <row r="289" spans="1:5" s="16" customFormat="1" ht="16.350000000000001" hidden="1" customHeight="1" outlineLevel="3" collapsed="1">
      <c r="A289" s="22" t="s">
        <v>680</v>
      </c>
      <c r="B289" s="21"/>
      <c r="C289" s="21"/>
      <c r="D289" s="21"/>
      <c r="E289" s="141"/>
    </row>
    <row r="290" spans="1:5" s="15" customFormat="1" ht="17.850000000000001" hidden="1" customHeight="1" outlineLevel="4">
      <c r="A290" s="70" t="s">
        <v>681</v>
      </c>
      <c r="B290" s="139">
        <f>563.472*(1.3/71)</f>
        <v>10.317092957746478</v>
      </c>
      <c r="C290" s="148" t="s">
        <v>1251</v>
      </c>
      <c r="D290" s="139">
        <v>0.85975774647887326</v>
      </c>
      <c r="E290" s="144" t="s">
        <v>141</v>
      </c>
    </row>
    <row r="291" spans="1:5" s="15" customFormat="1" ht="17.850000000000001" hidden="1" customHeight="1" outlineLevel="4">
      <c r="A291" s="70" t="s">
        <v>682</v>
      </c>
      <c r="B291" s="139">
        <f>1635.816*(1.3/71)</f>
        <v>29.951560563380283</v>
      </c>
      <c r="C291" s="148" t="s">
        <v>1251</v>
      </c>
      <c r="D291" s="139">
        <v>0.74883661971830995</v>
      </c>
      <c r="E291" s="144" t="s">
        <v>141</v>
      </c>
    </row>
    <row r="292" spans="1:5" s="15" customFormat="1" ht="17.850000000000001" hidden="1" customHeight="1" outlineLevel="4">
      <c r="A292" s="70" t="s">
        <v>683</v>
      </c>
      <c r="B292" s="139">
        <f>34.58*(1.3/71)</f>
        <v>0.63315492957746489</v>
      </c>
      <c r="C292" s="148" t="s">
        <v>141</v>
      </c>
      <c r="D292" s="139">
        <v>0.63315492957746489</v>
      </c>
      <c r="E292" s="144" t="s">
        <v>141</v>
      </c>
    </row>
    <row r="293" spans="1:5" s="15" customFormat="1" ht="17.850000000000001" hidden="1" customHeight="1" outlineLevel="4">
      <c r="A293" s="70" t="s">
        <v>684</v>
      </c>
      <c r="B293" s="139">
        <f>1226.68*(1.3/71)</f>
        <v>22.460338028169016</v>
      </c>
      <c r="C293" s="148" t="s">
        <v>1251</v>
      </c>
      <c r="D293" s="139">
        <v>0.83190845070422548</v>
      </c>
      <c r="E293" s="144" t="s">
        <v>141</v>
      </c>
    </row>
    <row r="294" spans="1:5" s="15" customFormat="1" ht="32.85" hidden="1" customHeight="1" outlineLevel="4">
      <c r="A294" s="70" t="s">
        <v>685</v>
      </c>
      <c r="B294" s="139">
        <f>450.45*(1.3/71)</f>
        <v>8.2476760563380278</v>
      </c>
      <c r="C294" s="148" t="s">
        <v>1251</v>
      </c>
      <c r="D294" s="139">
        <v>0.8247676056338028</v>
      </c>
      <c r="E294" s="144" t="s">
        <v>141</v>
      </c>
    </row>
    <row r="295" spans="1:5" s="15" customFormat="1" ht="32.85" hidden="1" customHeight="1" outlineLevel="4">
      <c r="A295" s="70" t="s">
        <v>686</v>
      </c>
      <c r="B295" s="139">
        <f>540.54*(1.3/71)</f>
        <v>9.8972112676056359</v>
      </c>
      <c r="C295" s="148" t="s">
        <v>1251</v>
      </c>
      <c r="D295" s="139">
        <v>0.8247676056338028</v>
      </c>
      <c r="E295" s="144" t="s">
        <v>141</v>
      </c>
    </row>
    <row r="296" spans="1:5" s="15" customFormat="1" ht="32.85" hidden="1" customHeight="1" outlineLevel="4">
      <c r="A296" s="70" t="s">
        <v>687</v>
      </c>
      <c r="B296" s="139">
        <f>2033.2*(1.3/71)</f>
        <v>37.227605633802817</v>
      </c>
      <c r="C296" s="148" t="s">
        <v>1251</v>
      </c>
      <c r="D296" s="139">
        <v>1.861380281690141</v>
      </c>
      <c r="E296" s="144" t="s">
        <v>141</v>
      </c>
    </row>
    <row r="297" spans="1:5" s="15" customFormat="1" ht="17.850000000000001" hidden="1" customHeight="1" outlineLevel="4">
      <c r="A297" s="70" t="s">
        <v>688</v>
      </c>
      <c r="B297" s="139">
        <f>2033.2*(1.3/71)</f>
        <v>37.227605633802817</v>
      </c>
      <c r="C297" s="148" t="s">
        <v>1251</v>
      </c>
      <c r="D297" s="139">
        <v>1.861380281690141</v>
      </c>
      <c r="E297" s="144" t="s">
        <v>141</v>
      </c>
    </row>
    <row r="298" spans="1:5" s="15" customFormat="1" ht="17.850000000000001" hidden="1" customHeight="1" outlineLevel="4">
      <c r="A298" s="70" t="s">
        <v>689</v>
      </c>
      <c r="B298" s="139">
        <f>2033.2*(1.3/71)</f>
        <v>37.227605633802817</v>
      </c>
      <c r="C298" s="148" t="s">
        <v>1251</v>
      </c>
      <c r="D298" s="139">
        <v>1.861380281690141</v>
      </c>
      <c r="E298" s="144" t="s">
        <v>141</v>
      </c>
    </row>
    <row r="299" spans="1:5" s="15" customFormat="1" ht="17.850000000000001" hidden="1" customHeight="1" outlineLevel="4">
      <c r="A299" s="70" t="s">
        <v>690</v>
      </c>
      <c r="B299" s="139">
        <f>1078.22*(1.3/71)</f>
        <v>19.742056338028171</v>
      </c>
      <c r="C299" s="148" t="s">
        <v>1251</v>
      </c>
      <c r="D299" s="139">
        <v>1.3160577464788732</v>
      </c>
      <c r="E299" s="144" t="s">
        <v>141</v>
      </c>
    </row>
    <row r="300" spans="1:5" s="15" customFormat="1" ht="17.850000000000001" hidden="1" customHeight="1" outlineLevel="4">
      <c r="A300" s="70" t="s">
        <v>691</v>
      </c>
      <c r="B300" s="139">
        <f>1078.22*(1.3/71)</f>
        <v>19.742056338028171</v>
      </c>
      <c r="C300" s="148" t="s">
        <v>1251</v>
      </c>
      <c r="D300" s="139">
        <v>1.3160577464788732</v>
      </c>
      <c r="E300" s="144" t="s">
        <v>141</v>
      </c>
    </row>
    <row r="301" spans="1:5" s="15" customFormat="1" ht="17.850000000000001" hidden="1" customHeight="1" outlineLevel="4">
      <c r="A301" s="70" t="s">
        <v>692</v>
      </c>
      <c r="B301" s="139">
        <f>1078.22*(1.3/71)</f>
        <v>19.742056338028171</v>
      </c>
      <c r="C301" s="148" t="s">
        <v>1251</v>
      </c>
      <c r="D301" s="139">
        <v>1.3160577464788732</v>
      </c>
      <c r="E301" s="144" t="s">
        <v>141</v>
      </c>
    </row>
    <row r="302" spans="1:5" s="15" customFormat="1" ht="17.850000000000001" hidden="1" customHeight="1" outlineLevel="4">
      <c r="A302" s="70" t="s">
        <v>693</v>
      </c>
      <c r="B302" s="139">
        <f>1312.415*(1.3/71)</f>
        <v>24.030133802816902</v>
      </c>
      <c r="C302" s="148" t="s">
        <v>1251</v>
      </c>
      <c r="D302" s="139">
        <v>0.92426338028169008</v>
      </c>
      <c r="E302" s="144" t="s">
        <v>141</v>
      </c>
    </row>
    <row r="303" spans="1:5" s="15" customFormat="1" ht="17.850000000000001" hidden="1" customHeight="1" outlineLevel="4">
      <c r="A303" s="70" t="s">
        <v>694</v>
      </c>
      <c r="B303" s="139">
        <f>1411.956*(1.3/71)</f>
        <v>25.852715492957746</v>
      </c>
      <c r="C303" s="148" t="s">
        <v>1251</v>
      </c>
      <c r="D303" s="139">
        <v>0.53865774647887321</v>
      </c>
      <c r="E303" s="144" t="s">
        <v>141</v>
      </c>
    </row>
    <row r="304" spans="1:5" s="15" customFormat="1" ht="17.850000000000001" hidden="1" customHeight="1" outlineLevel="4">
      <c r="A304" s="70" t="s">
        <v>695</v>
      </c>
      <c r="B304" s="139">
        <f>1708.759*(1.3/71)</f>
        <v>31.287136619718314</v>
      </c>
      <c r="C304" s="148" t="s">
        <v>1251</v>
      </c>
      <c r="D304" s="139">
        <v>0.65172112676056349</v>
      </c>
      <c r="E304" s="144" t="s">
        <v>141</v>
      </c>
    </row>
    <row r="305" spans="1:5" s="15" customFormat="1" ht="17.850000000000001" hidden="1" customHeight="1" outlineLevel="4">
      <c r="A305" s="70" t="s">
        <v>696</v>
      </c>
      <c r="B305" s="139">
        <f>1577.069*(1.3/71)</f>
        <v>28.875911267605638</v>
      </c>
      <c r="C305" s="148" t="s">
        <v>1251</v>
      </c>
      <c r="D305" s="139">
        <v>0.60149718309859157</v>
      </c>
      <c r="E305" s="144" t="s">
        <v>141</v>
      </c>
    </row>
    <row r="306" spans="1:5" s="15" customFormat="1" ht="17.850000000000001" hidden="1" customHeight="1" outlineLevel="4">
      <c r="A306" s="70" t="s">
        <v>697</v>
      </c>
      <c r="B306" s="139">
        <f>461.149*(1.3/71)</f>
        <v>8.4435732394366205</v>
      </c>
      <c r="C306" s="148" t="s">
        <v>1251</v>
      </c>
      <c r="D306" s="139">
        <v>1.0554169014084507</v>
      </c>
      <c r="E306" s="144" t="s">
        <v>141</v>
      </c>
    </row>
    <row r="307" spans="1:5" s="15" customFormat="1" ht="17.850000000000001" hidden="1" customHeight="1" outlineLevel="4">
      <c r="A307" s="70" t="s">
        <v>698</v>
      </c>
      <c r="B307" s="139">
        <f>461.149*(1.3/71)</f>
        <v>8.4435732394366205</v>
      </c>
      <c r="C307" s="148" t="s">
        <v>1251</v>
      </c>
      <c r="D307" s="139">
        <v>1.0554169014084507</v>
      </c>
      <c r="E307" s="144" t="s">
        <v>141</v>
      </c>
    </row>
    <row r="308" spans="1:5" s="15" customFormat="1" ht="17.850000000000001" hidden="1" customHeight="1" outlineLevel="4">
      <c r="A308" s="70" t="s">
        <v>699</v>
      </c>
      <c r="B308" s="139">
        <f>461.149*(1.3/71)</f>
        <v>8.4435732394366205</v>
      </c>
      <c r="C308" s="148" t="s">
        <v>1251</v>
      </c>
      <c r="D308" s="139">
        <v>1.0554169014084507</v>
      </c>
      <c r="E308" s="144" t="s">
        <v>141</v>
      </c>
    </row>
    <row r="309" spans="1:5" s="16" customFormat="1" ht="16.350000000000001" hidden="1" customHeight="1" outlineLevel="3" collapsed="1">
      <c r="A309" s="22" t="s">
        <v>700</v>
      </c>
      <c r="B309" s="21"/>
      <c r="C309" s="21"/>
      <c r="D309" s="21"/>
      <c r="E309" s="141"/>
    </row>
    <row r="310" spans="1:5" s="15" customFormat="1" ht="17.850000000000001" hidden="1" customHeight="1" outlineLevel="4">
      <c r="A310" s="71" t="s">
        <v>701</v>
      </c>
      <c r="B310" s="140">
        <f>987.389*(1.3/71)</f>
        <v>18.07895352112676</v>
      </c>
      <c r="C310" s="149" t="s">
        <v>1251</v>
      </c>
      <c r="D310" s="140">
        <v>0.75335915492957739</v>
      </c>
      <c r="E310" s="145" t="s">
        <v>141</v>
      </c>
    </row>
    <row r="311" spans="1:5" s="15" customFormat="1" ht="17.850000000000001" hidden="1" customHeight="1" outlineLevel="4">
      <c r="A311" s="71" t="s">
        <v>702</v>
      </c>
      <c r="B311" s="140">
        <f>987.389*(1.3/71)</f>
        <v>18.07895352112676</v>
      </c>
      <c r="C311" s="149" t="s">
        <v>1251</v>
      </c>
      <c r="D311" s="140">
        <v>0.75335915492957739</v>
      </c>
      <c r="E311" s="145" t="s">
        <v>141</v>
      </c>
    </row>
    <row r="312" spans="1:5" s="15" customFormat="1" ht="17.850000000000001" hidden="1" customHeight="1" outlineLevel="4">
      <c r="A312" s="71" t="s">
        <v>703</v>
      </c>
      <c r="B312" s="140">
        <f>923.624*(1.3/71)</f>
        <v>16.911425352112676</v>
      </c>
      <c r="C312" s="149" t="s">
        <v>1251</v>
      </c>
      <c r="D312" s="140">
        <v>1.1275394366197184</v>
      </c>
      <c r="E312" s="145" t="s">
        <v>141</v>
      </c>
    </row>
    <row r="313" spans="1:5" s="15" customFormat="1" ht="17.850000000000001" hidden="1" customHeight="1" outlineLevel="4">
      <c r="A313" s="71" t="s">
        <v>704</v>
      </c>
      <c r="B313" s="140">
        <f>923.624*(1.3/71)</f>
        <v>16.911425352112676</v>
      </c>
      <c r="C313" s="149" t="s">
        <v>1251</v>
      </c>
      <c r="D313" s="140">
        <v>1.1275394366197184</v>
      </c>
      <c r="E313" s="145" t="s">
        <v>141</v>
      </c>
    </row>
    <row r="314" spans="1:5" s="15" customFormat="1" ht="17.850000000000001" hidden="1" customHeight="1" outlineLevel="4">
      <c r="A314" s="71" t="s">
        <v>705</v>
      </c>
      <c r="B314" s="140">
        <f>506.142*(1.3/71)</f>
        <v>9.267388732394366</v>
      </c>
      <c r="C314" s="149" t="s">
        <v>1251</v>
      </c>
      <c r="D314" s="140">
        <v>1.1584830985915495</v>
      </c>
      <c r="E314" s="145" t="s">
        <v>141</v>
      </c>
    </row>
    <row r="315" spans="1:5" s="15" customFormat="1" ht="17.850000000000001" hidden="1" customHeight="1" outlineLevel="4">
      <c r="A315" s="71" t="s">
        <v>706</v>
      </c>
      <c r="B315" s="140">
        <f>417.69*(1.3/71)</f>
        <v>7.6478450704225365</v>
      </c>
      <c r="C315" s="149" t="s">
        <v>1251</v>
      </c>
      <c r="D315" s="140">
        <v>0.9559211267605634</v>
      </c>
      <c r="E315" s="145" t="s">
        <v>141</v>
      </c>
    </row>
    <row r="316" spans="1:5" s="15" customFormat="1" ht="17.850000000000001" hidden="1" customHeight="1" outlineLevel="4">
      <c r="A316" s="71" t="s">
        <v>707</v>
      </c>
      <c r="B316" s="140">
        <f>349.661*(1.3/71)</f>
        <v>6.4022436619718324</v>
      </c>
      <c r="C316" s="149" t="s">
        <v>1251</v>
      </c>
      <c r="D316" s="140">
        <v>0.80025070422535205</v>
      </c>
      <c r="E316" s="145" t="s">
        <v>141</v>
      </c>
    </row>
    <row r="317" spans="1:5" s="15" customFormat="1" ht="17.850000000000001" hidden="1" customHeight="1" outlineLevel="4">
      <c r="A317" s="71" t="s">
        <v>708</v>
      </c>
      <c r="B317" s="140">
        <f>419.549*(1.3/71)</f>
        <v>7.6818830985915501</v>
      </c>
      <c r="C317" s="149" t="s">
        <v>1251</v>
      </c>
      <c r="D317" s="140">
        <v>0.96020563380281709</v>
      </c>
      <c r="E317" s="145" t="s">
        <v>141</v>
      </c>
    </row>
    <row r="318" spans="1:5" s="15" customFormat="1" ht="17.850000000000001" hidden="1" customHeight="1" outlineLevel="4">
      <c r="A318" s="71" t="s">
        <v>709</v>
      </c>
      <c r="B318" s="140">
        <f>506.142*(1.3/71)</f>
        <v>9.267388732394366</v>
      </c>
      <c r="C318" s="149" t="s">
        <v>1251</v>
      </c>
      <c r="D318" s="140">
        <v>1.1584830985915495</v>
      </c>
      <c r="E318" s="145" t="s">
        <v>141</v>
      </c>
    </row>
    <row r="319" spans="1:5" s="16" customFormat="1" ht="16.350000000000001" customHeight="1" outlineLevel="2" collapsed="1">
      <c r="A319" s="20" t="s">
        <v>710</v>
      </c>
      <c r="B319" s="21"/>
      <c r="C319" s="21"/>
      <c r="D319" s="21"/>
      <c r="E319" s="141"/>
    </row>
    <row r="320" spans="1:5" s="16" customFormat="1" ht="16.350000000000001" hidden="1" customHeight="1" outlineLevel="3" collapsed="1">
      <c r="A320" s="22" t="s">
        <v>711</v>
      </c>
      <c r="B320" s="21"/>
      <c r="C320" s="21"/>
      <c r="D320" s="21"/>
      <c r="E320" s="141"/>
    </row>
    <row r="321" spans="1:5" s="15" customFormat="1" ht="32.85" hidden="1" customHeight="1" outlineLevel="4">
      <c r="A321" s="70" t="s">
        <v>712</v>
      </c>
      <c r="B321" s="139">
        <f>2443.35*(1.3/71)</f>
        <v>44.737394366197179</v>
      </c>
      <c r="C321" s="148" t="s">
        <v>1251</v>
      </c>
      <c r="D321" s="139">
        <v>4.4737394366197183</v>
      </c>
      <c r="E321" s="144" t="s">
        <v>141</v>
      </c>
    </row>
    <row r="322" spans="1:5" s="15" customFormat="1" ht="32.85" hidden="1" customHeight="1" outlineLevel="4">
      <c r="A322" s="70" t="s">
        <v>713</v>
      </c>
      <c r="B322" s="139">
        <f>2443.35*(1.3/71)</f>
        <v>44.737394366197179</v>
      </c>
      <c r="C322" s="148" t="s">
        <v>1251</v>
      </c>
      <c r="D322" s="139">
        <v>4.4737394366197183</v>
      </c>
      <c r="E322" s="144" t="s">
        <v>141</v>
      </c>
    </row>
    <row r="323" spans="1:5" s="15" customFormat="1" ht="32.85" hidden="1" customHeight="1" outlineLevel="4">
      <c r="A323" s="70" t="s">
        <v>714</v>
      </c>
      <c r="B323" s="139">
        <f>3272.386*(1.3/71)</f>
        <v>59.916926760563378</v>
      </c>
      <c r="C323" s="148" t="s">
        <v>1251</v>
      </c>
      <c r="D323" s="139">
        <v>5.9916450704225346</v>
      </c>
      <c r="E323" s="144" t="s">
        <v>141</v>
      </c>
    </row>
    <row r="324" spans="1:5" s="15" customFormat="1" ht="32.85" hidden="1" customHeight="1" outlineLevel="4">
      <c r="A324" s="70" t="s">
        <v>715</v>
      </c>
      <c r="B324" s="139">
        <f>3926.858*(1.3/71)</f>
        <v>71.900216901408442</v>
      </c>
      <c r="C324" s="148" t="s">
        <v>1251</v>
      </c>
      <c r="D324" s="139">
        <v>5.9916450704225346</v>
      </c>
      <c r="E324" s="144" t="s">
        <v>141</v>
      </c>
    </row>
    <row r="325" spans="1:5" s="15" customFormat="1" ht="17.850000000000001" hidden="1" customHeight="1" outlineLevel="4">
      <c r="A325" s="70" t="s">
        <v>716</v>
      </c>
      <c r="B325" s="139">
        <f>3926.858*(1.3/71)</f>
        <v>71.900216901408442</v>
      </c>
      <c r="C325" s="148" t="s">
        <v>1251</v>
      </c>
      <c r="D325" s="139">
        <v>5.9916450704225346</v>
      </c>
      <c r="E325" s="144" t="s">
        <v>141</v>
      </c>
    </row>
    <row r="326" spans="1:5" s="15" customFormat="1" ht="32.85" hidden="1" customHeight="1" outlineLevel="4">
      <c r="A326" s="70" t="s">
        <v>717</v>
      </c>
      <c r="B326" s="139">
        <f>4728.308*(1.3/71)</f>
        <v>86.574653521126763</v>
      </c>
      <c r="C326" s="148" t="s">
        <v>1251</v>
      </c>
      <c r="D326" s="139">
        <v>7.8704014084507037</v>
      </c>
      <c r="E326" s="144" t="s">
        <v>141</v>
      </c>
    </row>
    <row r="327" spans="1:5" s="15" customFormat="1" ht="32.85" hidden="1" customHeight="1" outlineLevel="4">
      <c r="A327" s="70" t="s">
        <v>718</v>
      </c>
      <c r="B327" s="139">
        <f>4728.308*(1.3/71)</f>
        <v>86.574653521126763</v>
      </c>
      <c r="C327" s="148" t="s">
        <v>1251</v>
      </c>
      <c r="D327" s="139">
        <v>7.8704014084507037</v>
      </c>
      <c r="E327" s="144" t="s">
        <v>141</v>
      </c>
    </row>
    <row r="328" spans="1:5" s="15" customFormat="1" ht="32.85" hidden="1" customHeight="1" outlineLevel="4">
      <c r="A328" s="70" t="s">
        <v>719</v>
      </c>
      <c r="B328" s="139">
        <f>1338.831*(1.3/71)</f>
        <v>24.513807042253518</v>
      </c>
      <c r="C328" s="148" t="s">
        <v>1250</v>
      </c>
      <c r="D328" s="139">
        <v>2.0427577464788733</v>
      </c>
      <c r="E328" s="144" t="s">
        <v>141</v>
      </c>
    </row>
    <row r="329" spans="1:5" s="15" customFormat="1" ht="32.85" hidden="1" customHeight="1" outlineLevel="4">
      <c r="A329" s="70" t="s">
        <v>720</v>
      </c>
      <c r="B329" s="139">
        <f>1365.936*(1.3/71)</f>
        <v>25.01009577464789</v>
      </c>
      <c r="C329" s="148" t="s">
        <v>1250</v>
      </c>
      <c r="D329" s="139">
        <v>1.7864014084507043</v>
      </c>
      <c r="E329" s="144" t="s">
        <v>141</v>
      </c>
    </row>
    <row r="330" spans="1:5" s="15" customFormat="1" ht="32.85" hidden="1" customHeight="1" outlineLevel="4">
      <c r="A330" s="70" t="s">
        <v>721</v>
      </c>
      <c r="B330" s="139">
        <f>1561.976*(1.3/71)</f>
        <v>28.599560563380283</v>
      </c>
      <c r="C330" s="148" t="s">
        <v>1250</v>
      </c>
      <c r="D330" s="139">
        <v>2.0427577464788733</v>
      </c>
      <c r="E330" s="144" t="s">
        <v>141</v>
      </c>
    </row>
    <row r="331" spans="1:5" s="15" customFormat="1" ht="32.85" hidden="1" customHeight="1" outlineLevel="4">
      <c r="A331" s="70" t="s">
        <v>722</v>
      </c>
      <c r="B331" s="139">
        <f>1507.402*(1.3/71)</f>
        <v>27.600318309859155</v>
      </c>
      <c r="C331" s="148" t="s">
        <v>1250</v>
      </c>
      <c r="D331" s="139">
        <v>1.9713492957746479</v>
      </c>
      <c r="E331" s="144" t="s">
        <v>141</v>
      </c>
    </row>
    <row r="332" spans="1:5" s="16" customFormat="1" ht="16.350000000000001" hidden="1" customHeight="1" outlineLevel="3" collapsed="1">
      <c r="A332" s="22" t="s">
        <v>723</v>
      </c>
      <c r="B332" s="21"/>
      <c r="C332" s="21"/>
      <c r="D332" s="21"/>
      <c r="E332" s="141"/>
    </row>
    <row r="333" spans="1:5" s="16" customFormat="1" ht="16.350000000000001" hidden="1" customHeight="1" outlineLevel="4" collapsed="1">
      <c r="A333" s="70" t="s">
        <v>724</v>
      </c>
      <c r="B333" s="139">
        <f>0*(1.3/71)</f>
        <v>0</v>
      </c>
      <c r="C333" s="148"/>
      <c r="D333" s="139">
        <v>0</v>
      </c>
      <c r="E333" s="144"/>
    </row>
    <row r="334" spans="1:5" s="15" customFormat="1" ht="32.85" hidden="1" customHeight="1" outlineLevel="5">
      <c r="A334" s="70" t="s">
        <v>725</v>
      </c>
      <c r="B334" s="139">
        <f>819*(1.3/71)</f>
        <v>14.995774647887323</v>
      </c>
      <c r="C334" s="148" t="s">
        <v>1250</v>
      </c>
      <c r="D334" s="139">
        <v>0.74978873239436628</v>
      </c>
      <c r="E334" s="144" t="s">
        <v>141</v>
      </c>
    </row>
    <row r="335" spans="1:5" s="15" customFormat="1" ht="32.85" hidden="1" customHeight="1" outlineLevel="5">
      <c r="A335" s="70" t="s">
        <v>726</v>
      </c>
      <c r="B335" s="139">
        <f>819*(1.3/71)</f>
        <v>14.995774647887323</v>
      </c>
      <c r="C335" s="148" t="s">
        <v>1250</v>
      </c>
      <c r="D335" s="139">
        <v>0.74978873239436628</v>
      </c>
      <c r="E335" s="144" t="s">
        <v>141</v>
      </c>
    </row>
    <row r="336" spans="1:5" s="15" customFormat="1" ht="32.85" hidden="1" customHeight="1" outlineLevel="5">
      <c r="A336" s="70" t="s">
        <v>727</v>
      </c>
      <c r="B336" s="139">
        <f>819*(1.3/71)</f>
        <v>14.995774647887323</v>
      </c>
      <c r="C336" s="148" t="s">
        <v>1250</v>
      </c>
      <c r="D336" s="139">
        <v>0.74978873239436628</v>
      </c>
      <c r="E336" s="144" t="s">
        <v>141</v>
      </c>
    </row>
    <row r="337" spans="1:5" s="15" customFormat="1" ht="32.85" hidden="1" customHeight="1" outlineLevel="5">
      <c r="A337" s="70" t="s">
        <v>728</v>
      </c>
      <c r="B337" s="139">
        <f>767*(1.3/71)</f>
        <v>14.043661971830986</v>
      </c>
      <c r="C337" s="148" t="s">
        <v>1250</v>
      </c>
      <c r="D337" s="139">
        <v>0.70218309859154937</v>
      </c>
      <c r="E337" s="144" t="s">
        <v>141</v>
      </c>
    </row>
    <row r="338" spans="1:5" s="15" customFormat="1" ht="32.85" hidden="1" customHeight="1" outlineLevel="5">
      <c r="A338" s="70" t="s">
        <v>729</v>
      </c>
      <c r="B338" s="139">
        <f>767*(1.3/71)</f>
        <v>14.043661971830986</v>
      </c>
      <c r="C338" s="148" t="s">
        <v>1250</v>
      </c>
      <c r="D338" s="139">
        <v>0.70218309859154937</v>
      </c>
      <c r="E338" s="144" t="s">
        <v>141</v>
      </c>
    </row>
    <row r="339" spans="1:5" s="15" customFormat="1" ht="32.85" hidden="1" customHeight="1" outlineLevel="5">
      <c r="A339" s="70" t="s">
        <v>730</v>
      </c>
      <c r="B339" s="139">
        <f>767*(1.3/71)</f>
        <v>14.043661971830986</v>
      </c>
      <c r="C339" s="148" t="s">
        <v>1250</v>
      </c>
      <c r="D339" s="139">
        <v>0.70218309859154937</v>
      </c>
      <c r="E339" s="144" t="s">
        <v>141</v>
      </c>
    </row>
    <row r="340" spans="1:5" s="15" customFormat="1" ht="32.85" hidden="1" customHeight="1" outlineLevel="5">
      <c r="A340" s="70" t="s">
        <v>731</v>
      </c>
      <c r="B340" s="139">
        <f>873.6*(1.3/71)</f>
        <v>15.99549295774648</v>
      </c>
      <c r="C340" s="148" t="s">
        <v>1250</v>
      </c>
      <c r="D340" s="139">
        <v>0.79977464788732411</v>
      </c>
      <c r="E340" s="144" t="s">
        <v>141</v>
      </c>
    </row>
    <row r="341" spans="1:5" s="15" customFormat="1" ht="17.850000000000001" hidden="1" customHeight="1" outlineLevel="5">
      <c r="A341" s="70" t="s">
        <v>732</v>
      </c>
      <c r="B341" s="139">
        <f>873.6*(1.3/71)</f>
        <v>15.99549295774648</v>
      </c>
      <c r="C341" s="148" t="s">
        <v>1250</v>
      </c>
      <c r="D341" s="139">
        <v>0.79977464788732411</v>
      </c>
      <c r="E341" s="144" t="s">
        <v>141</v>
      </c>
    </row>
    <row r="342" spans="1:5" s="15" customFormat="1" ht="32.85" hidden="1" customHeight="1" outlineLevel="5">
      <c r="A342" s="70" t="s">
        <v>733</v>
      </c>
      <c r="B342" s="139">
        <f>873.6*(1.3/71)</f>
        <v>15.99549295774648</v>
      </c>
      <c r="C342" s="148" t="s">
        <v>1250</v>
      </c>
      <c r="D342" s="139">
        <v>0.79977464788732411</v>
      </c>
      <c r="E342" s="144" t="s">
        <v>141</v>
      </c>
    </row>
    <row r="343" spans="1:5" s="15" customFormat="1" ht="32.85" hidden="1" customHeight="1" outlineLevel="5">
      <c r="A343" s="70" t="s">
        <v>734</v>
      </c>
      <c r="B343" s="139">
        <f>819*(1.3/71)</f>
        <v>14.995774647887323</v>
      </c>
      <c r="C343" s="148" t="s">
        <v>1250</v>
      </c>
      <c r="D343" s="139">
        <v>0.74978873239436628</v>
      </c>
      <c r="E343" s="144" t="s">
        <v>141</v>
      </c>
    </row>
    <row r="344" spans="1:5" s="15" customFormat="1" ht="17.850000000000001" hidden="1" customHeight="1" outlineLevel="5">
      <c r="A344" s="70" t="s">
        <v>735</v>
      </c>
      <c r="B344" s="139">
        <f>819*(1.3/71)</f>
        <v>14.995774647887323</v>
      </c>
      <c r="C344" s="148" t="s">
        <v>1250</v>
      </c>
      <c r="D344" s="139">
        <v>0.74978873239436628</v>
      </c>
      <c r="E344" s="144" t="s">
        <v>141</v>
      </c>
    </row>
    <row r="345" spans="1:5" s="15" customFormat="1" ht="32.85" hidden="1" customHeight="1" outlineLevel="5">
      <c r="A345" s="70" t="s">
        <v>736</v>
      </c>
      <c r="B345" s="139">
        <f>819*(1.3/71)</f>
        <v>14.995774647887323</v>
      </c>
      <c r="C345" s="148" t="s">
        <v>1250</v>
      </c>
      <c r="D345" s="139">
        <v>0.74978873239436628</v>
      </c>
      <c r="E345" s="144" t="s">
        <v>141</v>
      </c>
    </row>
    <row r="346" spans="1:5" s="15" customFormat="1" ht="32.85" hidden="1" customHeight="1" outlineLevel="5">
      <c r="A346" s="70" t="s">
        <v>737</v>
      </c>
      <c r="B346" s="139">
        <f>819*(1.3/71)</f>
        <v>14.995774647887323</v>
      </c>
      <c r="C346" s="148" t="s">
        <v>1250</v>
      </c>
      <c r="D346" s="139">
        <v>0.74978873239436628</v>
      </c>
      <c r="E346" s="144" t="s">
        <v>141</v>
      </c>
    </row>
    <row r="347" spans="1:5" s="15" customFormat="1" ht="32.85" hidden="1" customHeight="1" outlineLevel="5">
      <c r="A347" s="70" t="s">
        <v>738</v>
      </c>
      <c r="B347" s="139">
        <f>819*(1.3/71)</f>
        <v>14.995774647887323</v>
      </c>
      <c r="C347" s="148" t="s">
        <v>1250</v>
      </c>
      <c r="D347" s="139">
        <v>0.74978873239436628</v>
      </c>
      <c r="E347" s="144" t="s">
        <v>141</v>
      </c>
    </row>
    <row r="348" spans="1:5" s="16" customFormat="1" ht="16.350000000000001" hidden="1" customHeight="1" outlineLevel="4" collapsed="1">
      <c r="A348" s="70" t="s">
        <v>739</v>
      </c>
      <c r="B348" s="139">
        <f>0*(1.3/71)</f>
        <v>0</v>
      </c>
      <c r="C348" s="148"/>
      <c r="D348" s="139">
        <v>0</v>
      </c>
      <c r="E348" s="144"/>
    </row>
    <row r="349" spans="1:5" s="15" customFormat="1" ht="32.85" hidden="1" customHeight="1" outlineLevel="5">
      <c r="A349" s="70" t="s">
        <v>740</v>
      </c>
      <c r="B349" s="139">
        <f>960.96*(1.3/71)</f>
        <v>17.595042253521129</v>
      </c>
      <c r="C349" s="148" t="s">
        <v>1250</v>
      </c>
      <c r="D349" s="139">
        <v>17.595042253521129</v>
      </c>
      <c r="E349" s="144" t="s">
        <v>1250</v>
      </c>
    </row>
    <row r="350" spans="1:5" s="15" customFormat="1" ht="32.85" hidden="1" customHeight="1" outlineLevel="5">
      <c r="A350" s="70" t="s">
        <v>741</v>
      </c>
      <c r="B350" s="139">
        <f>960.96*(1.3/71)</f>
        <v>17.595042253521129</v>
      </c>
      <c r="C350" s="148" t="s">
        <v>1250</v>
      </c>
      <c r="D350" s="139">
        <v>17.595042253521129</v>
      </c>
      <c r="E350" s="144" t="s">
        <v>1250</v>
      </c>
    </row>
    <row r="351" spans="1:5" s="15" customFormat="1" ht="32.85" hidden="1" customHeight="1" outlineLevel="5">
      <c r="A351" s="70" t="s">
        <v>742</v>
      </c>
      <c r="B351" s="139">
        <f>1577.719*(1.3/71)</f>
        <v>28.887812676056342</v>
      </c>
      <c r="C351" s="148" t="s">
        <v>1250</v>
      </c>
      <c r="D351" s="139">
        <v>2.0634661971830988</v>
      </c>
      <c r="E351" s="144" t="s">
        <v>141</v>
      </c>
    </row>
    <row r="352" spans="1:5" s="15" customFormat="1" ht="32.85" hidden="1" customHeight="1" outlineLevel="5">
      <c r="A352" s="70" t="s">
        <v>743</v>
      </c>
      <c r="B352" s="139">
        <f>1690.416*(1.3/71)</f>
        <v>30.951278873239435</v>
      </c>
      <c r="C352" s="148" t="s">
        <v>1250</v>
      </c>
      <c r="D352" s="139">
        <v>2.0634661971830988</v>
      </c>
      <c r="E352" s="144" t="s">
        <v>141</v>
      </c>
    </row>
    <row r="353" spans="1:5" s="15" customFormat="1" ht="32.85" hidden="1" customHeight="1" outlineLevel="5">
      <c r="A353" s="70" t="s">
        <v>744</v>
      </c>
      <c r="B353" s="139">
        <f>1690.416*(1.3/71)</f>
        <v>30.951278873239435</v>
      </c>
      <c r="C353" s="148" t="s">
        <v>1250</v>
      </c>
      <c r="D353" s="139">
        <v>2.0634661971830988</v>
      </c>
      <c r="E353" s="144" t="s">
        <v>141</v>
      </c>
    </row>
    <row r="354" spans="1:5" s="15" customFormat="1" ht="32.85" hidden="1" customHeight="1" outlineLevel="5">
      <c r="A354" s="70" t="s">
        <v>745</v>
      </c>
      <c r="B354" s="139">
        <f>866.099*(1.3/71)</f>
        <v>15.858150704225352</v>
      </c>
      <c r="C354" s="148" t="s">
        <v>1250</v>
      </c>
      <c r="D354" s="139">
        <v>1.0573211267605633</v>
      </c>
      <c r="E354" s="144" t="s">
        <v>141</v>
      </c>
    </row>
    <row r="355" spans="1:5" s="15" customFormat="1" ht="32.85" hidden="1" customHeight="1" outlineLevel="5">
      <c r="A355" s="70" t="s">
        <v>746</v>
      </c>
      <c r="B355" s="139">
        <f>866.099*(1.3/71)</f>
        <v>15.858150704225352</v>
      </c>
      <c r="C355" s="148" t="s">
        <v>1250</v>
      </c>
      <c r="D355" s="139">
        <v>1.0573211267605633</v>
      </c>
      <c r="E355" s="144" t="s">
        <v>141</v>
      </c>
    </row>
    <row r="356" spans="1:5" s="15" customFormat="1" ht="32.85" hidden="1" customHeight="1" outlineLevel="5">
      <c r="A356" s="70" t="s">
        <v>747</v>
      </c>
      <c r="B356" s="139">
        <f>1780.649*(1.3/71)</f>
        <v>32.603432394366202</v>
      </c>
      <c r="C356" s="148" t="s">
        <v>1250</v>
      </c>
      <c r="D356" s="139">
        <v>3.260271830985916</v>
      </c>
      <c r="E356" s="144" t="s">
        <v>141</v>
      </c>
    </row>
    <row r="357" spans="1:5" s="15" customFormat="1" ht="32.85" hidden="1" customHeight="1" outlineLevel="5">
      <c r="A357" s="70" t="s">
        <v>748</v>
      </c>
      <c r="B357" s="139">
        <f>1324.323*(1.3/71)</f>
        <v>24.248167605633803</v>
      </c>
      <c r="C357" s="148" t="s">
        <v>1250</v>
      </c>
      <c r="D357" s="139">
        <v>2.4247929577464795</v>
      </c>
      <c r="E357" s="144" t="s">
        <v>141</v>
      </c>
    </row>
    <row r="358" spans="1:5" s="15" customFormat="1" ht="17.850000000000001" hidden="1" customHeight="1" outlineLevel="5">
      <c r="A358" s="70" t="s">
        <v>749</v>
      </c>
      <c r="B358" s="139">
        <f>1268.462*(1.3/71)</f>
        <v>23.225360563380281</v>
      </c>
      <c r="C358" s="148" t="s">
        <v>1250</v>
      </c>
      <c r="D358" s="139">
        <v>0.9678225352112676</v>
      </c>
      <c r="E358" s="144" t="s">
        <v>141</v>
      </c>
    </row>
    <row r="359" spans="1:5" s="15" customFormat="1" ht="32.85" hidden="1" customHeight="1" outlineLevel="5">
      <c r="A359" s="70" t="s">
        <v>750</v>
      </c>
      <c r="B359" s="139">
        <f>1174.771*(1.3/71)</f>
        <v>21.509891549295773</v>
      </c>
      <c r="C359" s="148" t="s">
        <v>1250</v>
      </c>
      <c r="D359" s="139">
        <v>0.89617605633802822</v>
      </c>
      <c r="E359" s="144" t="s">
        <v>141</v>
      </c>
    </row>
    <row r="360" spans="1:5" s="15" customFormat="1" ht="32.85" hidden="1" customHeight="1" outlineLevel="5">
      <c r="A360" s="70" t="s">
        <v>751</v>
      </c>
      <c r="B360" s="139">
        <f>1174.771*(1.3/71)</f>
        <v>21.509891549295773</v>
      </c>
      <c r="C360" s="148" t="s">
        <v>1250</v>
      </c>
      <c r="D360" s="139">
        <v>0.89617605633802822</v>
      </c>
      <c r="E360" s="144" t="s">
        <v>141</v>
      </c>
    </row>
    <row r="361" spans="1:5" s="15" customFormat="1" ht="32.85" hidden="1" customHeight="1" outlineLevel="5">
      <c r="A361" s="70" t="s">
        <v>752</v>
      </c>
      <c r="B361" s="139">
        <f>1276.821*(1.3/71)</f>
        <v>23.378412676056335</v>
      </c>
      <c r="C361" s="148" t="s">
        <v>1250</v>
      </c>
      <c r="D361" s="139">
        <v>1.1689563380281691</v>
      </c>
      <c r="E361" s="144" t="s">
        <v>141</v>
      </c>
    </row>
    <row r="362" spans="1:5" s="15" customFormat="1" ht="32.85" hidden="1" customHeight="1" outlineLevel="5">
      <c r="A362" s="70" t="s">
        <v>753</v>
      </c>
      <c r="B362" s="139">
        <f>1276.821*(1.3/71)</f>
        <v>23.378412676056335</v>
      </c>
      <c r="C362" s="148" t="s">
        <v>1250</v>
      </c>
      <c r="D362" s="139">
        <v>1.1689563380281691</v>
      </c>
      <c r="E362" s="144" t="s">
        <v>141</v>
      </c>
    </row>
    <row r="363" spans="1:5" s="15" customFormat="1" ht="32.85" hidden="1" customHeight="1" outlineLevel="5">
      <c r="A363" s="70" t="s">
        <v>754</v>
      </c>
      <c r="B363" s="139">
        <f>1564.836*(1.3/71)</f>
        <v>28.651926760563381</v>
      </c>
      <c r="C363" s="148" t="s">
        <v>1250</v>
      </c>
      <c r="D363" s="139">
        <v>1.4326915492957748</v>
      </c>
      <c r="E363" s="144" t="s">
        <v>141</v>
      </c>
    </row>
    <row r="364" spans="1:5" s="15" customFormat="1" ht="32.85" hidden="1" customHeight="1" outlineLevel="5">
      <c r="A364" s="70" t="s">
        <v>755</v>
      </c>
      <c r="B364" s="139">
        <f>1604.694*(1.3/71)</f>
        <v>29.381721126760567</v>
      </c>
      <c r="C364" s="148" t="s">
        <v>1250</v>
      </c>
      <c r="D364" s="139">
        <v>1.4691098591549296</v>
      </c>
      <c r="E364" s="144" t="s">
        <v>141</v>
      </c>
    </row>
    <row r="365" spans="1:5" s="15" customFormat="1" ht="32.85" hidden="1" customHeight="1" outlineLevel="5">
      <c r="A365" s="70" t="s">
        <v>756</v>
      </c>
      <c r="B365" s="139">
        <f>1604.694*(1.3/71)</f>
        <v>29.381721126760567</v>
      </c>
      <c r="C365" s="148" t="s">
        <v>1250</v>
      </c>
      <c r="D365" s="139">
        <v>1.4691098591549296</v>
      </c>
      <c r="E365" s="144" t="s">
        <v>141</v>
      </c>
    </row>
    <row r="366" spans="1:5" s="15" customFormat="1" ht="32.85" hidden="1" customHeight="1" outlineLevel="5">
      <c r="A366" s="70" t="s">
        <v>757</v>
      </c>
      <c r="B366" s="139">
        <f>1318.304*(1.3/71)</f>
        <v>24.137960563380283</v>
      </c>
      <c r="C366" s="148" t="s">
        <v>1251</v>
      </c>
      <c r="D366" s="139">
        <v>1.1494380281690142</v>
      </c>
      <c r="E366" s="144" t="s">
        <v>141</v>
      </c>
    </row>
    <row r="367" spans="1:5" s="15" customFormat="1" ht="32.85" hidden="1" customHeight="1" outlineLevel="5">
      <c r="A367" s="70" t="s">
        <v>758</v>
      </c>
      <c r="B367" s="139">
        <f>1318.304*(1.3/71)</f>
        <v>24.137960563380283</v>
      </c>
      <c r="C367" s="148" t="s">
        <v>1251</v>
      </c>
      <c r="D367" s="139">
        <v>1.1494380281690142</v>
      </c>
      <c r="E367" s="144" t="s">
        <v>141</v>
      </c>
    </row>
    <row r="368" spans="1:5" s="15" customFormat="1" ht="32.85" hidden="1" customHeight="1" outlineLevel="5">
      <c r="A368" s="70" t="s">
        <v>759</v>
      </c>
      <c r="B368" s="139">
        <f>1318.304*(1.3/71)</f>
        <v>24.137960563380283</v>
      </c>
      <c r="C368" s="148" t="s">
        <v>1251</v>
      </c>
      <c r="D368" s="139">
        <v>1.1494380281690142</v>
      </c>
      <c r="E368" s="144" t="s">
        <v>141</v>
      </c>
    </row>
    <row r="369" spans="1:5" s="15" customFormat="1" ht="32.85" hidden="1" customHeight="1" outlineLevel="5">
      <c r="A369" s="70" t="s">
        <v>760</v>
      </c>
      <c r="B369" s="139">
        <f>1318.304*(1.3/71)</f>
        <v>24.137960563380283</v>
      </c>
      <c r="C369" s="148" t="s">
        <v>1251</v>
      </c>
      <c r="D369" s="139">
        <v>1.1494380281690142</v>
      </c>
      <c r="E369" s="144" t="s">
        <v>141</v>
      </c>
    </row>
    <row r="370" spans="1:5" s="15" customFormat="1" ht="32.85" hidden="1" customHeight="1" outlineLevel="5">
      <c r="A370" s="70" t="s">
        <v>761</v>
      </c>
      <c r="B370" s="139">
        <f>1857.661*(1.3/71)</f>
        <v>34.013511267605637</v>
      </c>
      <c r="C370" s="148" t="s">
        <v>1250</v>
      </c>
      <c r="D370" s="139">
        <v>1.5459929577464788</v>
      </c>
      <c r="E370" s="144" t="s">
        <v>141</v>
      </c>
    </row>
    <row r="371" spans="1:5" s="15" customFormat="1" ht="32.85" hidden="1" customHeight="1" outlineLevel="5">
      <c r="A371" s="70" t="s">
        <v>762</v>
      </c>
      <c r="B371" s="139">
        <f>2067.13*(1.3/71)</f>
        <v>37.848859154929578</v>
      </c>
      <c r="C371" s="148" t="s">
        <v>1250</v>
      </c>
      <c r="D371" s="139">
        <v>2.7035239436619718</v>
      </c>
      <c r="E371" s="144" t="s">
        <v>141</v>
      </c>
    </row>
    <row r="372" spans="1:5" s="16" customFormat="1" ht="16.350000000000001" hidden="1" customHeight="1" outlineLevel="4" collapsed="1">
      <c r="A372" s="70" t="s">
        <v>763</v>
      </c>
      <c r="B372" s="139">
        <f>0*(1.3/71)</f>
        <v>0</v>
      </c>
      <c r="C372" s="148"/>
      <c r="D372" s="139">
        <v>0</v>
      </c>
      <c r="E372" s="144"/>
    </row>
    <row r="373" spans="1:5" s="15" customFormat="1" ht="32.85" hidden="1" customHeight="1" outlineLevel="5">
      <c r="A373" s="70" t="s">
        <v>764</v>
      </c>
      <c r="B373" s="139">
        <f>996.45*(1.3/71)</f>
        <v>18.244859154929578</v>
      </c>
      <c r="C373" s="148" t="s">
        <v>1250</v>
      </c>
      <c r="D373" s="139">
        <v>0.91236197183098611</v>
      </c>
      <c r="E373" s="144" t="s">
        <v>141</v>
      </c>
    </row>
    <row r="374" spans="1:5" s="15" customFormat="1" ht="32.85" hidden="1" customHeight="1" outlineLevel="5">
      <c r="A374" s="70" t="s">
        <v>765</v>
      </c>
      <c r="B374" s="139">
        <f>928.2*(1.3/71)</f>
        <v>16.995211267605633</v>
      </c>
      <c r="C374" s="148" t="s">
        <v>1250</v>
      </c>
      <c r="D374" s="139">
        <v>0.84976056338028172</v>
      </c>
      <c r="E374" s="144" t="s">
        <v>141</v>
      </c>
    </row>
    <row r="375" spans="1:5" s="15" customFormat="1" ht="32.85" hidden="1" customHeight="1" outlineLevel="5">
      <c r="A375" s="70" t="s">
        <v>766</v>
      </c>
      <c r="B375" s="139">
        <f>928.2*(1.3/71)</f>
        <v>16.995211267605633</v>
      </c>
      <c r="C375" s="148" t="s">
        <v>1250</v>
      </c>
      <c r="D375" s="139">
        <v>0.84976056338028172</v>
      </c>
      <c r="E375" s="144" t="s">
        <v>141</v>
      </c>
    </row>
    <row r="376" spans="1:5" s="16" customFormat="1" ht="16.350000000000001" hidden="1" customHeight="1" outlineLevel="4" collapsed="1">
      <c r="A376" s="70" t="s">
        <v>767</v>
      </c>
      <c r="B376" s="139">
        <f>0*(1.3/71)</f>
        <v>0</v>
      </c>
      <c r="C376" s="148"/>
      <c r="D376" s="139">
        <v>0</v>
      </c>
      <c r="E376" s="144"/>
    </row>
    <row r="377" spans="1:5" s="15" customFormat="1" ht="32.85" hidden="1" customHeight="1" outlineLevel="5">
      <c r="A377" s="70" t="s">
        <v>768</v>
      </c>
      <c r="B377" s="139">
        <f>1218.945*(1.3/71)</f>
        <v>22.318711267605632</v>
      </c>
      <c r="C377" s="148" t="s">
        <v>1250</v>
      </c>
      <c r="D377" s="139">
        <v>1.1746690140845071</v>
      </c>
      <c r="E377" s="144" t="s">
        <v>141</v>
      </c>
    </row>
    <row r="378" spans="1:5" s="15" customFormat="1" ht="32.85" hidden="1" customHeight="1" outlineLevel="5">
      <c r="A378" s="70" t="s">
        <v>769</v>
      </c>
      <c r="B378" s="139">
        <f>1283.1*(1.3/71)</f>
        <v>23.493380281690143</v>
      </c>
      <c r="C378" s="148" t="s">
        <v>1250</v>
      </c>
      <c r="D378" s="139">
        <v>1.1746690140845071</v>
      </c>
      <c r="E378" s="144" t="s">
        <v>141</v>
      </c>
    </row>
    <row r="379" spans="1:5" s="15" customFormat="1" ht="32.85" hidden="1" customHeight="1" outlineLevel="5">
      <c r="A379" s="70" t="s">
        <v>770</v>
      </c>
      <c r="B379" s="139">
        <f>1255.8*(1.3/71)</f>
        <v>22.993521126760562</v>
      </c>
      <c r="C379" s="148" t="s">
        <v>1250</v>
      </c>
      <c r="D379" s="139">
        <v>1.1496760563380282</v>
      </c>
      <c r="E379" s="144" t="s">
        <v>141</v>
      </c>
    </row>
    <row r="380" spans="1:5" s="15" customFormat="1" ht="17.850000000000001" hidden="1" customHeight="1" outlineLevel="5">
      <c r="A380" s="70" t="s">
        <v>771</v>
      </c>
      <c r="B380" s="139">
        <f>1228.5*(1.3/71)</f>
        <v>22.493661971830985</v>
      </c>
      <c r="C380" s="148" t="s">
        <v>1250</v>
      </c>
      <c r="D380" s="139">
        <v>1.1246830985915495</v>
      </c>
      <c r="E380" s="144" t="s">
        <v>141</v>
      </c>
    </row>
    <row r="381" spans="1:5" s="15" customFormat="1" ht="32.85" hidden="1" customHeight="1" outlineLevel="5">
      <c r="A381" s="70" t="s">
        <v>772</v>
      </c>
      <c r="B381" s="139">
        <f>1255.8*(1.3/71)</f>
        <v>22.993521126760562</v>
      </c>
      <c r="C381" s="148" t="s">
        <v>1250</v>
      </c>
      <c r="D381" s="139">
        <v>1.1496760563380282</v>
      </c>
      <c r="E381" s="144" t="s">
        <v>141</v>
      </c>
    </row>
    <row r="382" spans="1:5" s="15" customFormat="1" ht="17.850000000000001" hidden="1" customHeight="1" outlineLevel="5">
      <c r="A382" s="70" t="s">
        <v>773</v>
      </c>
      <c r="B382" s="139">
        <f>1228.5*(1.3/71)</f>
        <v>22.493661971830985</v>
      </c>
      <c r="C382" s="148" t="s">
        <v>1250</v>
      </c>
      <c r="D382" s="139">
        <v>1.1246830985915495</v>
      </c>
      <c r="E382" s="144" t="s">
        <v>141</v>
      </c>
    </row>
    <row r="383" spans="1:5" s="15" customFormat="1" ht="17.850000000000001" hidden="1" customHeight="1" outlineLevel="5">
      <c r="A383" s="70" t="s">
        <v>774</v>
      </c>
      <c r="B383" s="139">
        <f>1255.8*(1.3/71)</f>
        <v>22.993521126760562</v>
      </c>
      <c r="C383" s="148" t="s">
        <v>1250</v>
      </c>
      <c r="D383" s="139">
        <v>1.1496760563380282</v>
      </c>
      <c r="E383" s="144" t="s">
        <v>141</v>
      </c>
    </row>
    <row r="384" spans="1:5" s="16" customFormat="1" ht="16.350000000000001" hidden="1" customHeight="1" outlineLevel="4" collapsed="1">
      <c r="A384" s="70" t="s">
        <v>775</v>
      </c>
      <c r="B384" s="139">
        <f>0*(1.3/71)</f>
        <v>0</v>
      </c>
      <c r="C384" s="148"/>
      <c r="D384" s="139">
        <v>0</v>
      </c>
      <c r="E384" s="144"/>
    </row>
    <row r="385" spans="1:5" s="15" customFormat="1" ht="17.850000000000001" hidden="1" customHeight="1" outlineLevel="5">
      <c r="A385" s="70" t="s">
        <v>776</v>
      </c>
      <c r="B385" s="139">
        <f>1628.445*(1.3/71)</f>
        <v>29.816598591549297</v>
      </c>
      <c r="C385" s="148" t="s">
        <v>1251</v>
      </c>
      <c r="D385" s="139">
        <v>1.4907704225352114</v>
      </c>
      <c r="E385" s="144" t="s">
        <v>141</v>
      </c>
    </row>
    <row r="386" spans="1:5" s="15" customFormat="1" ht="17.850000000000001" hidden="1" customHeight="1" outlineLevel="5">
      <c r="A386" s="70" t="s">
        <v>777</v>
      </c>
      <c r="B386" s="139">
        <f>1628.445*(1.3/71)</f>
        <v>29.816598591549297</v>
      </c>
      <c r="C386" s="148" t="s">
        <v>1251</v>
      </c>
      <c r="D386" s="139">
        <v>1.4907704225352114</v>
      </c>
      <c r="E386" s="144" t="s">
        <v>141</v>
      </c>
    </row>
    <row r="387" spans="1:5" s="15" customFormat="1" ht="17.850000000000001" hidden="1" customHeight="1" outlineLevel="5">
      <c r="A387" s="70" t="s">
        <v>778</v>
      </c>
      <c r="B387" s="139">
        <f>1628.445*(1.3/71)</f>
        <v>29.816598591549297</v>
      </c>
      <c r="C387" s="148" t="s">
        <v>1251</v>
      </c>
      <c r="D387" s="139">
        <v>1.4907704225352114</v>
      </c>
      <c r="E387" s="144" t="s">
        <v>141</v>
      </c>
    </row>
    <row r="388" spans="1:5" s="15" customFormat="1" ht="17.850000000000001" hidden="1" customHeight="1" outlineLevel="5">
      <c r="A388" s="70" t="s">
        <v>779</v>
      </c>
      <c r="B388" s="139">
        <f>1628.445*(1.3/71)</f>
        <v>29.816598591549297</v>
      </c>
      <c r="C388" s="148" t="s">
        <v>1251</v>
      </c>
      <c r="D388" s="139">
        <v>1.4907704225352114</v>
      </c>
      <c r="E388" s="144" t="s">
        <v>141</v>
      </c>
    </row>
    <row r="389" spans="1:5" s="15" customFormat="1" ht="17.850000000000001" hidden="1" customHeight="1" outlineLevel="5">
      <c r="A389" s="70" t="s">
        <v>780</v>
      </c>
      <c r="B389" s="139">
        <f>481.897*(1.3/71)</f>
        <v>8.8234661971830981</v>
      </c>
      <c r="C389" s="148" t="s">
        <v>1250</v>
      </c>
      <c r="D389" s="139">
        <v>0.36775352112676057</v>
      </c>
      <c r="E389" s="144" t="s">
        <v>141</v>
      </c>
    </row>
    <row r="390" spans="1:5" s="15" customFormat="1" ht="17.850000000000001" hidden="1" customHeight="1" outlineLevel="5">
      <c r="A390" s="70" t="s">
        <v>781</v>
      </c>
      <c r="B390" s="139">
        <f>481.897*(1.3/71)</f>
        <v>8.8234661971830981</v>
      </c>
      <c r="C390" s="148" t="s">
        <v>1250</v>
      </c>
      <c r="D390" s="139">
        <v>0.36775352112676057</v>
      </c>
      <c r="E390" s="144" t="s">
        <v>141</v>
      </c>
    </row>
    <row r="391" spans="1:5" s="15" customFormat="1" ht="17.850000000000001" hidden="1" customHeight="1" outlineLevel="5">
      <c r="A391" s="70" t="s">
        <v>782</v>
      </c>
      <c r="B391" s="139">
        <f>481.897*(1.3/71)</f>
        <v>8.8234661971830981</v>
      </c>
      <c r="C391" s="148" t="s">
        <v>1250</v>
      </c>
      <c r="D391" s="139">
        <v>0.36775352112676057</v>
      </c>
      <c r="E391" s="144" t="s">
        <v>141</v>
      </c>
    </row>
    <row r="392" spans="1:5" s="16" customFormat="1" ht="16.350000000000001" hidden="1" customHeight="1" outlineLevel="4" collapsed="1">
      <c r="A392" s="70" t="s">
        <v>783</v>
      </c>
      <c r="B392" s="139">
        <f>0*(1.3/71)</f>
        <v>0</v>
      </c>
      <c r="C392" s="148"/>
      <c r="D392" s="139">
        <v>0</v>
      </c>
      <c r="E392" s="144"/>
    </row>
    <row r="393" spans="1:5" s="15" customFormat="1" ht="17.850000000000001" hidden="1" customHeight="1" outlineLevel="5">
      <c r="A393" s="70" t="s">
        <v>784</v>
      </c>
      <c r="B393" s="139">
        <f>990.99*(1.3/71)</f>
        <v>18.144887323943664</v>
      </c>
      <c r="C393" s="148" t="s">
        <v>1250</v>
      </c>
      <c r="D393" s="139">
        <v>0.75597746478873251</v>
      </c>
      <c r="E393" s="144" t="s">
        <v>141</v>
      </c>
    </row>
    <row r="394" spans="1:5" s="15" customFormat="1" ht="17.850000000000001" hidden="1" customHeight="1" outlineLevel="5">
      <c r="A394" s="70" t="s">
        <v>785</v>
      </c>
      <c r="B394" s="139">
        <f>990.99*(1.3/71)</f>
        <v>18.144887323943664</v>
      </c>
      <c r="C394" s="148" t="s">
        <v>1250</v>
      </c>
      <c r="D394" s="139">
        <v>0.75597746478873251</v>
      </c>
      <c r="E394" s="144" t="s">
        <v>141</v>
      </c>
    </row>
    <row r="395" spans="1:5" s="15" customFormat="1" ht="17.850000000000001" hidden="1" customHeight="1" outlineLevel="5">
      <c r="A395" s="70" t="s">
        <v>786</v>
      </c>
      <c r="B395" s="139">
        <f>990.99*(1.3/71)</f>
        <v>18.144887323943664</v>
      </c>
      <c r="C395" s="148" t="s">
        <v>1250</v>
      </c>
      <c r="D395" s="139">
        <v>0.75597746478873251</v>
      </c>
      <c r="E395" s="144" t="s">
        <v>141</v>
      </c>
    </row>
    <row r="396" spans="1:5" s="15" customFormat="1" ht="17.850000000000001" hidden="1" customHeight="1" outlineLevel="5">
      <c r="A396" s="70" t="s">
        <v>787</v>
      </c>
      <c r="B396" s="139">
        <f>990.99*(1.3/71)</f>
        <v>18.144887323943664</v>
      </c>
      <c r="C396" s="148" t="s">
        <v>1250</v>
      </c>
      <c r="D396" s="139">
        <v>0.75597746478873251</v>
      </c>
      <c r="E396" s="144" t="s">
        <v>141</v>
      </c>
    </row>
    <row r="397" spans="1:5" s="15" customFormat="1" ht="17.850000000000001" hidden="1" customHeight="1" outlineLevel="5">
      <c r="A397" s="70" t="s">
        <v>788</v>
      </c>
      <c r="B397" s="139">
        <f>386.828*(1.3/71)</f>
        <v>7.0827661971830995</v>
      </c>
      <c r="C397" s="148" t="s">
        <v>1250</v>
      </c>
      <c r="D397" s="139">
        <v>7.0827661971830995</v>
      </c>
      <c r="E397" s="144" t="s">
        <v>1250</v>
      </c>
    </row>
    <row r="398" spans="1:5" s="15" customFormat="1" ht="17.850000000000001" hidden="1" customHeight="1" outlineLevel="5">
      <c r="A398" s="70" t="s">
        <v>789</v>
      </c>
      <c r="B398" s="139">
        <f>386.828*(1.3/71)</f>
        <v>7.0827661971830995</v>
      </c>
      <c r="C398" s="148" t="s">
        <v>1250</v>
      </c>
      <c r="D398" s="139">
        <v>7.0827661971830995</v>
      </c>
      <c r="E398" s="144" t="s">
        <v>1250</v>
      </c>
    </row>
    <row r="399" spans="1:5" s="15" customFormat="1" ht="17.850000000000001" hidden="1" customHeight="1" outlineLevel="5">
      <c r="A399" s="70" t="s">
        <v>790</v>
      </c>
      <c r="B399" s="139">
        <f>386.828*(1.3/71)</f>
        <v>7.0827661971830995</v>
      </c>
      <c r="C399" s="148" t="s">
        <v>1250</v>
      </c>
      <c r="D399" s="139">
        <v>7.0827661971830995</v>
      </c>
      <c r="E399" s="144" t="s">
        <v>1250</v>
      </c>
    </row>
    <row r="400" spans="1:5" s="15" customFormat="1" ht="32.85" hidden="1" customHeight="1" outlineLevel="5">
      <c r="A400" s="70" t="s">
        <v>791</v>
      </c>
      <c r="B400" s="139">
        <f>789.685*(1.3/71)</f>
        <v>14.459021126760565</v>
      </c>
      <c r="C400" s="148" t="s">
        <v>1250</v>
      </c>
      <c r="D400" s="139">
        <v>1.2048985915492958</v>
      </c>
      <c r="E400" s="144" t="s">
        <v>141</v>
      </c>
    </row>
    <row r="401" spans="1:5" s="15" customFormat="1" ht="17.850000000000001" hidden="1" customHeight="1" outlineLevel="5">
      <c r="A401" s="70" t="s">
        <v>792</v>
      </c>
      <c r="B401" s="139">
        <f>789.685*(1.3/71)</f>
        <v>14.459021126760565</v>
      </c>
      <c r="C401" s="148" t="s">
        <v>1250</v>
      </c>
      <c r="D401" s="139">
        <v>1.2048985915492958</v>
      </c>
      <c r="E401" s="144" t="s">
        <v>141</v>
      </c>
    </row>
    <row r="402" spans="1:5" s="15" customFormat="1" ht="32.85" hidden="1" customHeight="1" outlineLevel="5">
      <c r="A402" s="70" t="s">
        <v>793</v>
      </c>
      <c r="B402" s="139">
        <f>394.212*(1.3/71)</f>
        <v>7.2179661971830997</v>
      </c>
      <c r="C402" s="148" t="s">
        <v>1250</v>
      </c>
      <c r="D402" s="139">
        <v>7.2179661971830997</v>
      </c>
      <c r="E402" s="144" t="s">
        <v>1250</v>
      </c>
    </row>
    <row r="403" spans="1:5" s="15" customFormat="1" ht="17.850000000000001" hidden="1" customHeight="1" outlineLevel="5">
      <c r="A403" s="70" t="s">
        <v>794</v>
      </c>
      <c r="B403" s="139">
        <f>394.212*(1.3/71)</f>
        <v>7.2179661971830997</v>
      </c>
      <c r="C403" s="148" t="s">
        <v>1250</v>
      </c>
      <c r="D403" s="139">
        <v>7.2179661971830997</v>
      </c>
      <c r="E403" s="144" t="s">
        <v>1250</v>
      </c>
    </row>
    <row r="404" spans="1:5" s="16" customFormat="1" ht="16.350000000000001" hidden="1" customHeight="1" outlineLevel="4" collapsed="1">
      <c r="A404" s="70" t="s">
        <v>795</v>
      </c>
      <c r="B404" s="139">
        <f>0*(1.3/71)</f>
        <v>0</v>
      </c>
      <c r="C404" s="148"/>
      <c r="D404" s="139">
        <v>0</v>
      </c>
      <c r="E404" s="144"/>
    </row>
    <row r="405" spans="1:5" s="15" customFormat="1" ht="32.85" hidden="1" customHeight="1" outlineLevel="5">
      <c r="A405" s="70" t="s">
        <v>796</v>
      </c>
      <c r="B405" s="139">
        <f>1064.7*(1.3/71)</f>
        <v>19.49450704225352</v>
      </c>
      <c r="C405" s="148" t="s">
        <v>1251</v>
      </c>
      <c r="D405" s="139">
        <v>0.32490845070422542</v>
      </c>
      <c r="E405" s="144" t="s">
        <v>141</v>
      </c>
    </row>
    <row r="406" spans="1:5" s="15" customFormat="1" ht="32.85" hidden="1" customHeight="1" outlineLevel="5">
      <c r="A406" s="70" t="s">
        <v>797</v>
      </c>
      <c r="B406" s="139">
        <f>1064.7*(1.3/71)</f>
        <v>19.49450704225352</v>
      </c>
      <c r="C406" s="148" t="s">
        <v>1251</v>
      </c>
      <c r="D406" s="139">
        <v>0.32490845070422542</v>
      </c>
      <c r="E406" s="144" t="s">
        <v>141</v>
      </c>
    </row>
    <row r="407" spans="1:5" s="15" customFormat="1" ht="32.85" hidden="1" customHeight="1" outlineLevel="5">
      <c r="A407" s="70" t="s">
        <v>798</v>
      </c>
      <c r="B407" s="139">
        <f>1638*(1.3/71)</f>
        <v>29.991549295774647</v>
      </c>
      <c r="C407" s="148" t="s">
        <v>1251</v>
      </c>
      <c r="D407" s="139">
        <v>0.4998591549295775</v>
      </c>
      <c r="E407" s="144" t="s">
        <v>141</v>
      </c>
    </row>
    <row r="408" spans="1:5" s="15" customFormat="1" ht="32.85" hidden="1" customHeight="1" outlineLevel="5">
      <c r="A408" s="70" t="s">
        <v>799</v>
      </c>
      <c r="B408" s="139">
        <f>655.2*(1.3/71)</f>
        <v>11.99661971830986</v>
      </c>
      <c r="C408" s="148" t="s">
        <v>1251</v>
      </c>
      <c r="D408" s="139">
        <v>0.39988732394366205</v>
      </c>
      <c r="E408" s="144" t="s">
        <v>141</v>
      </c>
    </row>
    <row r="409" spans="1:5" s="15" customFormat="1" ht="32.85" hidden="1" customHeight="1" outlineLevel="5">
      <c r="A409" s="70" t="s">
        <v>800</v>
      </c>
      <c r="B409" s="139">
        <f>1526.07*(1.3/71)</f>
        <v>27.942126760563383</v>
      </c>
      <c r="C409" s="148" t="s">
        <v>1250</v>
      </c>
      <c r="D409" s="139">
        <v>1.3972253521126761</v>
      </c>
      <c r="E409" s="144" t="s">
        <v>141</v>
      </c>
    </row>
    <row r="410" spans="1:5" s="15" customFormat="1" ht="32.85" hidden="1" customHeight="1" outlineLevel="5">
      <c r="A410" s="70" t="s">
        <v>801</v>
      </c>
      <c r="B410" s="139">
        <f>1526.07*(1.3/71)</f>
        <v>27.942126760563383</v>
      </c>
      <c r="C410" s="148" t="s">
        <v>1250</v>
      </c>
      <c r="D410" s="139">
        <v>1.3972253521126761</v>
      </c>
      <c r="E410" s="144" t="s">
        <v>141</v>
      </c>
    </row>
    <row r="411" spans="1:5" s="15" customFormat="1" ht="17.850000000000001" hidden="1" customHeight="1" outlineLevel="5">
      <c r="A411" s="70" t="s">
        <v>802</v>
      </c>
      <c r="B411" s="139">
        <f>1526.07*(1.3/71)</f>
        <v>27.942126760563383</v>
      </c>
      <c r="C411" s="148" t="s">
        <v>1250</v>
      </c>
      <c r="D411" s="139">
        <v>1.3972253521126761</v>
      </c>
      <c r="E411" s="144" t="s">
        <v>141</v>
      </c>
    </row>
    <row r="412" spans="1:5" s="15" customFormat="1" ht="32.85" hidden="1" customHeight="1" outlineLevel="5">
      <c r="A412" s="70" t="s">
        <v>803</v>
      </c>
      <c r="B412" s="139">
        <f>1526.07*(1.3/71)</f>
        <v>27.942126760563383</v>
      </c>
      <c r="C412" s="148" t="s">
        <v>1250</v>
      </c>
      <c r="D412" s="139">
        <v>1.3972253521126761</v>
      </c>
      <c r="E412" s="144" t="s">
        <v>141</v>
      </c>
    </row>
    <row r="413" spans="1:5" s="15" customFormat="1" ht="32.85" hidden="1" customHeight="1" outlineLevel="5">
      <c r="A413" s="70" t="s">
        <v>804</v>
      </c>
      <c r="B413" s="139">
        <f>1972.152*(1.3/71)</f>
        <v>36.109825352112679</v>
      </c>
      <c r="C413" s="148" t="s">
        <v>1250</v>
      </c>
      <c r="D413" s="139">
        <v>1.8054436619718308</v>
      </c>
      <c r="E413" s="144" t="s">
        <v>141</v>
      </c>
    </row>
    <row r="414" spans="1:5" s="15" customFormat="1" ht="32.85" hidden="1" customHeight="1" outlineLevel="5">
      <c r="A414" s="70" t="s">
        <v>805</v>
      </c>
      <c r="B414" s="139">
        <f>1972.152*(1.3/71)</f>
        <v>36.109825352112679</v>
      </c>
      <c r="C414" s="148" t="s">
        <v>1250</v>
      </c>
      <c r="D414" s="139">
        <v>1.8054436619718308</v>
      </c>
      <c r="E414" s="144" t="s">
        <v>141</v>
      </c>
    </row>
    <row r="415" spans="1:5" s="16" customFormat="1" ht="16.350000000000001" hidden="1" customHeight="1" outlineLevel="3" collapsed="1">
      <c r="A415" s="22" t="s">
        <v>806</v>
      </c>
      <c r="B415" s="21"/>
      <c r="C415" s="21"/>
      <c r="D415" s="21"/>
      <c r="E415" s="141"/>
    </row>
    <row r="416" spans="1:5" s="15" customFormat="1" ht="17.850000000000001" hidden="1" customHeight="1" outlineLevel="4">
      <c r="A416" s="70" t="s">
        <v>807</v>
      </c>
      <c r="B416" s="139">
        <f>3281.564*(1.3/71)</f>
        <v>60.084974647887329</v>
      </c>
      <c r="C416" s="148" t="s">
        <v>1251</v>
      </c>
      <c r="D416" s="139">
        <v>15.021243661971834</v>
      </c>
      <c r="E416" s="144" t="s">
        <v>1250</v>
      </c>
    </row>
    <row r="417" spans="1:5" s="15" customFormat="1" ht="17.850000000000001" hidden="1" customHeight="1" outlineLevel="4">
      <c r="A417" s="70" t="s">
        <v>808</v>
      </c>
      <c r="B417" s="139">
        <f>5491.057*(1.3/71)</f>
        <v>100.54048028169015</v>
      </c>
      <c r="C417" s="148" t="s">
        <v>1251</v>
      </c>
      <c r="D417" s="139">
        <v>16.75670704225352</v>
      </c>
      <c r="E417" s="144" t="s">
        <v>1250</v>
      </c>
    </row>
    <row r="418" spans="1:5" s="15" customFormat="1" ht="17.850000000000001" hidden="1" customHeight="1" outlineLevel="4">
      <c r="A418" s="70" t="s">
        <v>809</v>
      </c>
      <c r="B418" s="139">
        <f>6366.503*(1.3/71)</f>
        <v>116.56977323943663</v>
      </c>
      <c r="C418" s="148" t="s">
        <v>1251</v>
      </c>
      <c r="D418" s="139">
        <v>19.428335211267608</v>
      </c>
      <c r="E418" s="144" t="s">
        <v>1250</v>
      </c>
    </row>
    <row r="419" spans="1:5" s="15" customFormat="1" ht="17.850000000000001" hidden="1" customHeight="1" outlineLevel="4">
      <c r="A419" s="70" t="s">
        <v>810</v>
      </c>
      <c r="B419" s="139">
        <f>4813.887*(1.3/71)</f>
        <v>88.141592957746468</v>
      </c>
      <c r="C419" s="148" t="s">
        <v>1251</v>
      </c>
      <c r="D419" s="139">
        <v>17.628366197183102</v>
      </c>
      <c r="E419" s="144" t="s">
        <v>1250</v>
      </c>
    </row>
    <row r="420" spans="1:5" s="15" customFormat="1" ht="17.850000000000001" hidden="1" customHeight="1" outlineLevel="4">
      <c r="A420" s="70" t="s">
        <v>811</v>
      </c>
      <c r="B420" s="139">
        <f>5776.667*(1.3/71)</f>
        <v>105.76995915492958</v>
      </c>
      <c r="C420" s="148" t="s">
        <v>1251</v>
      </c>
      <c r="D420" s="139">
        <v>17.628366197183102</v>
      </c>
      <c r="E420" s="144" t="s">
        <v>1250</v>
      </c>
    </row>
    <row r="421" spans="1:5" s="15" customFormat="1" ht="17.850000000000001" hidden="1" customHeight="1" outlineLevel="4">
      <c r="A421" s="70" t="s">
        <v>812</v>
      </c>
      <c r="B421" s="139">
        <f>8236.592*(1.3/71)</f>
        <v>150.81083943661972</v>
      </c>
      <c r="C421" s="148" t="s">
        <v>1251</v>
      </c>
      <c r="D421" s="139">
        <v>18.851354929577465</v>
      </c>
      <c r="E421" s="144" t="s">
        <v>1250</v>
      </c>
    </row>
    <row r="422" spans="1:5" s="15" customFormat="1" ht="17.850000000000001" hidden="1" customHeight="1" outlineLevel="4">
      <c r="A422" s="70" t="s">
        <v>813</v>
      </c>
      <c r="B422" s="139">
        <f>7427.589*(1.3/71)</f>
        <v>135.99810845070422</v>
      </c>
      <c r="C422" s="148" t="s">
        <v>1251</v>
      </c>
      <c r="D422" s="139">
        <v>19.428335211267608</v>
      </c>
      <c r="E422" s="144" t="s">
        <v>1250</v>
      </c>
    </row>
    <row r="423" spans="1:5" s="15" customFormat="1" ht="17.850000000000001" hidden="1" customHeight="1" outlineLevel="4">
      <c r="A423" s="70" t="s">
        <v>814</v>
      </c>
      <c r="B423" s="139">
        <f>3444.948*(1.3/71)</f>
        <v>63.076512676056346</v>
      </c>
      <c r="C423" s="148" t="s">
        <v>1251</v>
      </c>
      <c r="D423" s="139">
        <v>10.512752112676058</v>
      </c>
      <c r="E423" s="144" t="s">
        <v>1250</v>
      </c>
    </row>
    <row r="424" spans="1:5" s="15" customFormat="1" ht="17.850000000000001" hidden="1" customHeight="1" outlineLevel="4">
      <c r="A424" s="70" t="s">
        <v>815</v>
      </c>
      <c r="B424" s="139">
        <f>3551.119*(1.3/71)</f>
        <v>65.020488732394369</v>
      </c>
      <c r="C424" s="148" t="s">
        <v>1251</v>
      </c>
      <c r="D424" s="139">
        <v>10.836708450704226</v>
      </c>
      <c r="E424" s="144" t="s">
        <v>1250</v>
      </c>
    </row>
    <row r="425" spans="1:5" s="15" customFormat="1" ht="17.850000000000001" hidden="1" customHeight="1" outlineLevel="4">
      <c r="A425" s="70" t="s">
        <v>816</v>
      </c>
      <c r="B425" s="139">
        <f>7383.506*(1.3/71)</f>
        <v>135.19095492957746</v>
      </c>
      <c r="C425" s="148" t="s">
        <v>1251</v>
      </c>
      <c r="D425" s="139">
        <v>22.531746478873245</v>
      </c>
      <c r="E425" s="144" t="s">
        <v>1250</v>
      </c>
    </row>
    <row r="426" spans="1:5" s="15" customFormat="1" ht="17.850000000000001" hidden="1" customHeight="1" outlineLevel="4">
      <c r="A426" s="70" t="s">
        <v>817</v>
      </c>
      <c r="B426" s="139">
        <f>7073.898*(1.3/71)</f>
        <v>129.52207605633802</v>
      </c>
      <c r="C426" s="148" t="s">
        <v>1251</v>
      </c>
      <c r="D426" s="139">
        <v>25.904367605633801</v>
      </c>
      <c r="E426" s="144" t="s">
        <v>1250</v>
      </c>
    </row>
    <row r="427" spans="1:5" s="15" customFormat="1" ht="17.850000000000001" hidden="1" customHeight="1" outlineLevel="4">
      <c r="A427" s="70" t="s">
        <v>818</v>
      </c>
      <c r="B427" s="139">
        <f>6864.858*(1.3/71)</f>
        <v>125.69458309859155</v>
      </c>
      <c r="C427" s="148" t="s">
        <v>1251</v>
      </c>
      <c r="D427" s="139">
        <v>25.138869014084513</v>
      </c>
      <c r="E427" s="144" t="s">
        <v>1250</v>
      </c>
    </row>
    <row r="428" spans="1:5" s="15" customFormat="1" ht="17.850000000000001" hidden="1" customHeight="1" outlineLevel="4">
      <c r="A428" s="70" t="s">
        <v>819</v>
      </c>
      <c r="B428" s="139">
        <f>5659.108*(1.3/71)</f>
        <v>103.61747042253522</v>
      </c>
      <c r="C428" s="148" t="s">
        <v>1251</v>
      </c>
      <c r="D428" s="139">
        <v>25.904367605633801</v>
      </c>
      <c r="E428" s="144" t="s">
        <v>1250</v>
      </c>
    </row>
    <row r="429" spans="1:5" s="15" customFormat="1" ht="17.850000000000001" hidden="1" customHeight="1" outlineLevel="4">
      <c r="A429" s="70" t="s">
        <v>820</v>
      </c>
      <c r="B429" s="139">
        <f>6863.831*(1.3/71)</f>
        <v>125.67577887323944</v>
      </c>
      <c r="C429" s="148" t="s">
        <v>1251</v>
      </c>
      <c r="D429" s="139">
        <v>20.946002816901412</v>
      </c>
      <c r="E429" s="144" t="s">
        <v>1250</v>
      </c>
    </row>
    <row r="430" spans="1:5" s="15" customFormat="1" ht="17.850000000000001" hidden="1" customHeight="1" outlineLevel="4">
      <c r="A430" s="70" t="s">
        <v>821</v>
      </c>
      <c r="B430" s="139">
        <f>6366.503*(1.3/71)</f>
        <v>116.56977323943663</v>
      </c>
      <c r="C430" s="148" t="s">
        <v>1251</v>
      </c>
      <c r="D430" s="139">
        <v>19.428335211267608</v>
      </c>
      <c r="E430" s="144" t="s">
        <v>1250</v>
      </c>
    </row>
    <row r="431" spans="1:5" s="16" customFormat="1" ht="16.350000000000001" hidden="1" customHeight="1" outlineLevel="3" collapsed="1">
      <c r="A431" s="22" t="s">
        <v>806</v>
      </c>
      <c r="B431" s="21"/>
      <c r="C431" s="21"/>
      <c r="D431" s="21"/>
      <c r="E431" s="141"/>
    </row>
    <row r="432" spans="1:5" s="15" customFormat="1" ht="17.850000000000001" hidden="1" customHeight="1" outlineLevel="4">
      <c r="A432" s="70" t="s">
        <v>822</v>
      </c>
      <c r="B432" s="139">
        <f>2864.056*(1.3/71)</f>
        <v>52.440461971830985</v>
      </c>
      <c r="C432" s="148" t="s">
        <v>1251</v>
      </c>
      <c r="D432" s="139">
        <v>1.8728056338028169</v>
      </c>
      <c r="E432" s="144" t="s">
        <v>141</v>
      </c>
    </row>
    <row r="433" spans="1:5" s="15" customFormat="1" ht="17.850000000000001" hidden="1" customHeight="1" outlineLevel="4">
      <c r="A433" s="70" t="s">
        <v>823</v>
      </c>
      <c r="B433" s="139">
        <f>2760.251*(1.3/71)</f>
        <v>50.539807042253521</v>
      </c>
      <c r="C433" s="148" t="s">
        <v>1251</v>
      </c>
      <c r="D433" s="139">
        <v>50.539807042253521</v>
      </c>
      <c r="E433" s="144" t="s">
        <v>1251</v>
      </c>
    </row>
    <row r="434" spans="1:5" s="15" customFormat="1" ht="17.850000000000001" hidden="1" customHeight="1" outlineLevel="4">
      <c r="A434" s="70" t="s">
        <v>824</v>
      </c>
      <c r="B434" s="139">
        <f>3220.347*(1.3/71)</f>
        <v>58.964100000000002</v>
      </c>
      <c r="C434" s="148" t="s">
        <v>1251</v>
      </c>
      <c r="D434" s="139">
        <v>58.964100000000002</v>
      </c>
      <c r="E434" s="144" t="s">
        <v>1251</v>
      </c>
    </row>
    <row r="435" spans="1:5" s="15" customFormat="1" ht="17.850000000000001" hidden="1" customHeight="1" outlineLevel="4">
      <c r="A435" s="70" t="s">
        <v>825</v>
      </c>
      <c r="B435" s="139">
        <f>3220.347*(1.3/71)</f>
        <v>58.964100000000002</v>
      </c>
      <c r="C435" s="148" t="s">
        <v>1251</v>
      </c>
      <c r="D435" s="139">
        <v>58.964100000000002</v>
      </c>
      <c r="E435" s="144" t="s">
        <v>1251</v>
      </c>
    </row>
    <row r="436" spans="1:5" s="15" customFormat="1" ht="32.85" hidden="1" customHeight="1" outlineLevel="4">
      <c r="A436" s="70" t="s">
        <v>826</v>
      </c>
      <c r="B436" s="139">
        <f>1334.697*(1.3/71)</f>
        <v>24.438114084507045</v>
      </c>
      <c r="C436" s="148" t="s">
        <v>1250</v>
      </c>
      <c r="D436" s="139">
        <v>1.5274267605633804</v>
      </c>
      <c r="E436" s="144" t="s">
        <v>141</v>
      </c>
    </row>
    <row r="437" spans="1:5" s="15" customFormat="1" ht="32.85" hidden="1" customHeight="1" outlineLevel="4">
      <c r="A437" s="70" t="s">
        <v>827</v>
      </c>
      <c r="B437" s="139">
        <f>1334.697*(1.3/71)</f>
        <v>24.438114084507045</v>
      </c>
      <c r="C437" s="148" t="s">
        <v>1250</v>
      </c>
      <c r="D437" s="139">
        <v>1.5274267605633804</v>
      </c>
      <c r="E437" s="144" t="s">
        <v>141</v>
      </c>
    </row>
    <row r="438" spans="1:5" s="15" customFormat="1" ht="32.85" hidden="1" customHeight="1" outlineLevel="4">
      <c r="A438" s="70" t="s">
        <v>828</v>
      </c>
      <c r="B438" s="139">
        <f>1526.278*(1.3/71)</f>
        <v>27.945935211267606</v>
      </c>
      <c r="C438" s="148" t="s">
        <v>1250</v>
      </c>
      <c r="D438" s="139">
        <v>1.7466507042253521</v>
      </c>
      <c r="E438" s="144" t="s">
        <v>141</v>
      </c>
    </row>
    <row r="439" spans="1:5" s="15" customFormat="1" ht="32.85" hidden="1" customHeight="1" outlineLevel="4">
      <c r="A439" s="70" t="s">
        <v>829</v>
      </c>
      <c r="B439" s="139">
        <f>1334.697*(1.3/71)</f>
        <v>24.438114084507045</v>
      </c>
      <c r="C439" s="148" t="s">
        <v>1250</v>
      </c>
      <c r="D439" s="139">
        <v>1.5274267605633804</v>
      </c>
      <c r="E439" s="144" t="s">
        <v>141</v>
      </c>
    </row>
    <row r="440" spans="1:5" s="15" customFormat="1" ht="32.85" hidden="1" customHeight="1" outlineLevel="4">
      <c r="A440" s="70" t="s">
        <v>830</v>
      </c>
      <c r="B440" s="139">
        <f>1248.351*(1.3/71)</f>
        <v>22.857130985915497</v>
      </c>
      <c r="C440" s="148" t="s">
        <v>1250</v>
      </c>
      <c r="D440" s="139">
        <v>1.4286450704225355</v>
      </c>
      <c r="E440" s="144" t="s">
        <v>141</v>
      </c>
    </row>
    <row r="441" spans="1:5" s="15" customFormat="1" ht="17.850000000000001" hidden="1" customHeight="1" outlineLevel="4">
      <c r="A441" s="70" t="s">
        <v>831</v>
      </c>
      <c r="B441" s="139">
        <f>1248.351*(1.3/71)</f>
        <v>22.857130985915497</v>
      </c>
      <c r="C441" s="148" t="s">
        <v>1250</v>
      </c>
      <c r="D441" s="139">
        <v>1.4286450704225355</v>
      </c>
      <c r="E441" s="144" t="s">
        <v>141</v>
      </c>
    </row>
    <row r="442" spans="1:5" s="15" customFormat="1" ht="17.850000000000001" hidden="1" customHeight="1" outlineLevel="4">
      <c r="A442" s="70" t="s">
        <v>832</v>
      </c>
      <c r="B442" s="139">
        <f>3227.354*(1.3/71)</f>
        <v>59.092397183098591</v>
      </c>
      <c r="C442" s="148" t="s">
        <v>1251</v>
      </c>
      <c r="D442" s="139">
        <v>4.220953521126761</v>
      </c>
      <c r="E442" s="144" t="s">
        <v>141</v>
      </c>
    </row>
    <row r="443" spans="1:5" s="15" customFormat="1" ht="32.85" hidden="1" customHeight="1" outlineLevel="4">
      <c r="A443" s="70" t="s">
        <v>833</v>
      </c>
      <c r="B443" s="139">
        <f>3227.354*(1.3/71)</f>
        <v>59.092397183098591</v>
      </c>
      <c r="C443" s="148" t="s">
        <v>1251</v>
      </c>
      <c r="D443" s="139">
        <v>4.220953521126761</v>
      </c>
      <c r="E443" s="144" t="s">
        <v>141</v>
      </c>
    </row>
    <row r="444" spans="1:5" s="15" customFormat="1" ht="32.85" hidden="1" customHeight="1" outlineLevel="4">
      <c r="A444" s="70" t="s">
        <v>834</v>
      </c>
      <c r="B444" s="139">
        <f>3227.354*(1.3/71)</f>
        <v>59.092397183098591</v>
      </c>
      <c r="C444" s="148" t="s">
        <v>1251</v>
      </c>
      <c r="D444" s="139">
        <v>4.220953521126761</v>
      </c>
      <c r="E444" s="144" t="s">
        <v>141</v>
      </c>
    </row>
    <row r="445" spans="1:5" s="15" customFormat="1" ht="17.850000000000001" hidden="1" customHeight="1" outlineLevel="4">
      <c r="A445" s="70" t="s">
        <v>835</v>
      </c>
      <c r="B445" s="139">
        <f>1985.815*(1.3/71)</f>
        <v>36.359992957746478</v>
      </c>
      <c r="C445" s="148" t="s">
        <v>1251</v>
      </c>
      <c r="D445" s="139">
        <v>1.5150492957746482</v>
      </c>
      <c r="E445" s="144" t="s">
        <v>141</v>
      </c>
    </row>
    <row r="446" spans="1:5" s="15" customFormat="1" ht="17.850000000000001" hidden="1" customHeight="1" outlineLevel="4">
      <c r="A446" s="70" t="s">
        <v>836</v>
      </c>
      <c r="B446" s="139">
        <f>3184.987*(1.3/71)</f>
        <v>58.316663380281682</v>
      </c>
      <c r="C446" s="148" t="s">
        <v>1251</v>
      </c>
      <c r="D446" s="139">
        <v>3.8877140845070426</v>
      </c>
      <c r="E446" s="144" t="s">
        <v>141</v>
      </c>
    </row>
    <row r="447" spans="1:5" s="15" customFormat="1" ht="17.850000000000001" hidden="1" customHeight="1" outlineLevel="4">
      <c r="A447" s="70" t="s">
        <v>837</v>
      </c>
      <c r="B447" s="139">
        <f>1985.815*(1.3/71)</f>
        <v>36.359992957746478</v>
      </c>
      <c r="C447" s="148" t="s">
        <v>1251</v>
      </c>
      <c r="D447" s="139">
        <v>1.5150492957746482</v>
      </c>
      <c r="E447" s="144" t="s">
        <v>141</v>
      </c>
    </row>
    <row r="448" spans="1:5" s="15" customFormat="1" ht="17.850000000000001" hidden="1" customHeight="1" outlineLevel="4">
      <c r="A448" s="70" t="s">
        <v>838</v>
      </c>
      <c r="B448" s="139">
        <f>3184.987*(1.3/71)</f>
        <v>58.316663380281682</v>
      </c>
      <c r="C448" s="148" t="s">
        <v>1251</v>
      </c>
      <c r="D448" s="139">
        <v>3.8877140845070426</v>
      </c>
      <c r="E448" s="144" t="s">
        <v>141</v>
      </c>
    </row>
    <row r="449" spans="1:5" s="15" customFormat="1" ht="17.850000000000001" hidden="1" customHeight="1" outlineLevel="4">
      <c r="A449" s="70" t="s">
        <v>839</v>
      </c>
      <c r="B449" s="139">
        <f>1610.83*(1.3/71)</f>
        <v>29.494070422535209</v>
      </c>
      <c r="C449" s="148" t="s">
        <v>1250</v>
      </c>
      <c r="D449" s="139">
        <v>29.494070422535213</v>
      </c>
      <c r="E449" s="144" t="s">
        <v>1250</v>
      </c>
    </row>
    <row r="450" spans="1:5" s="15" customFormat="1" ht="17.850000000000001" hidden="1" customHeight="1" outlineLevel="4">
      <c r="A450" s="70" t="s">
        <v>840</v>
      </c>
      <c r="B450" s="139">
        <f>1850.303*(1.3/71)</f>
        <v>33.878787323943662</v>
      </c>
      <c r="C450" s="148" t="s">
        <v>1251</v>
      </c>
      <c r="D450" s="139">
        <v>1.4115070422535214</v>
      </c>
      <c r="E450" s="144" t="s">
        <v>141</v>
      </c>
    </row>
    <row r="451" spans="1:5" s="15" customFormat="1" ht="17.850000000000001" hidden="1" customHeight="1" outlineLevel="4">
      <c r="A451" s="70" t="s">
        <v>841</v>
      </c>
      <c r="B451" s="139">
        <f>976.677*(1.3/71)</f>
        <v>17.882818309859154</v>
      </c>
      <c r="C451" s="148" t="s">
        <v>1251</v>
      </c>
      <c r="D451" s="139">
        <v>1.9870591549295777</v>
      </c>
      <c r="E451" s="144" t="s">
        <v>141</v>
      </c>
    </row>
    <row r="452" spans="1:5" s="15" customFormat="1" ht="17.850000000000001" hidden="1" customHeight="1" outlineLevel="4">
      <c r="A452" s="70" t="s">
        <v>842</v>
      </c>
      <c r="B452" s="139">
        <f>3105.011*(1.3/71)</f>
        <v>56.852314084507043</v>
      </c>
      <c r="C452" s="148" t="s">
        <v>1251</v>
      </c>
      <c r="D452" s="139">
        <v>2.0303802816901411</v>
      </c>
      <c r="E452" s="144" t="s">
        <v>141</v>
      </c>
    </row>
    <row r="453" spans="1:5" s="15" customFormat="1" ht="17.850000000000001" hidden="1" customHeight="1" outlineLevel="4">
      <c r="A453" s="70" t="s">
        <v>843</v>
      </c>
      <c r="B453" s="139">
        <f>976.677*(1.3/71)</f>
        <v>17.882818309859154</v>
      </c>
      <c r="C453" s="148" t="s">
        <v>1251</v>
      </c>
      <c r="D453" s="139">
        <v>1.9870591549295777</v>
      </c>
      <c r="E453" s="144" t="s">
        <v>141</v>
      </c>
    </row>
    <row r="454" spans="1:5" s="15" customFormat="1" ht="32.85" hidden="1" customHeight="1" outlineLevel="4">
      <c r="A454" s="70" t="s">
        <v>844</v>
      </c>
      <c r="B454" s="139">
        <f>2260.349*(1.3/71)</f>
        <v>41.386671830985918</v>
      </c>
      <c r="C454" s="148" t="s">
        <v>1251</v>
      </c>
      <c r="D454" s="139">
        <v>1.478154929577465</v>
      </c>
      <c r="E454" s="144" t="s">
        <v>141</v>
      </c>
    </row>
    <row r="455" spans="1:5" s="15" customFormat="1" ht="17.850000000000001" hidden="1" customHeight="1" outlineLevel="4">
      <c r="A455" s="70" t="s">
        <v>845</v>
      </c>
      <c r="B455" s="139">
        <f>976.677*(1.3/71)</f>
        <v>17.882818309859154</v>
      </c>
      <c r="C455" s="148" t="s">
        <v>1251</v>
      </c>
      <c r="D455" s="139">
        <v>1.9870591549295777</v>
      </c>
      <c r="E455" s="144" t="s">
        <v>141</v>
      </c>
    </row>
    <row r="456" spans="1:5" s="15" customFormat="1" ht="17.850000000000001" hidden="1" customHeight="1" outlineLevel="4">
      <c r="A456" s="70" t="s">
        <v>846</v>
      </c>
      <c r="B456" s="139">
        <f>3100.188*(1.3/71)</f>
        <v>56.764005633802824</v>
      </c>
      <c r="C456" s="148" t="s">
        <v>1251</v>
      </c>
      <c r="D456" s="139">
        <v>2.0272859154929579</v>
      </c>
      <c r="E456" s="144" t="s">
        <v>141</v>
      </c>
    </row>
    <row r="457" spans="1:5" s="15" customFormat="1" ht="17.850000000000001" hidden="1" customHeight="1" outlineLevel="4">
      <c r="A457" s="70" t="s">
        <v>847</v>
      </c>
      <c r="B457" s="139">
        <f>976.677*(1.3/71)</f>
        <v>17.882818309859154</v>
      </c>
      <c r="C457" s="148" t="s">
        <v>1251</v>
      </c>
      <c r="D457" s="139">
        <v>1.9870591549295777</v>
      </c>
      <c r="E457" s="144" t="s">
        <v>141</v>
      </c>
    </row>
    <row r="458" spans="1:5" s="15" customFormat="1" ht="17.850000000000001" hidden="1" customHeight="1" outlineLevel="4">
      <c r="A458" s="70" t="s">
        <v>848</v>
      </c>
      <c r="B458" s="139">
        <f>2102.295*(1.3/71)</f>
        <v>38.492725352112679</v>
      </c>
      <c r="C458" s="148" t="s">
        <v>1251</v>
      </c>
      <c r="D458" s="139">
        <v>2.1384450704225353</v>
      </c>
      <c r="E458" s="144" t="s">
        <v>141</v>
      </c>
    </row>
    <row r="459" spans="1:5" s="16" customFormat="1" ht="16.350000000000001" hidden="1" customHeight="1" outlineLevel="3" collapsed="1">
      <c r="A459" s="22" t="s">
        <v>849</v>
      </c>
      <c r="B459" s="21"/>
      <c r="C459" s="21"/>
      <c r="D459" s="21"/>
      <c r="E459" s="141"/>
    </row>
    <row r="460" spans="1:5" s="15" customFormat="1" ht="17.850000000000001" hidden="1" customHeight="1" outlineLevel="4">
      <c r="A460" s="70" t="s">
        <v>850</v>
      </c>
      <c r="B460" s="139">
        <f>891.605*(1.3/71)</f>
        <v>16.325161971830987</v>
      </c>
      <c r="C460" s="148" t="s">
        <v>1250</v>
      </c>
      <c r="D460" s="139">
        <v>16.325161971830987</v>
      </c>
      <c r="E460" s="144" t="s">
        <v>1250</v>
      </c>
    </row>
    <row r="461" spans="1:5" s="15" customFormat="1" ht="17.850000000000001" hidden="1" customHeight="1" outlineLevel="4">
      <c r="A461" s="70" t="s">
        <v>851</v>
      </c>
      <c r="B461" s="139">
        <f>1013.012*(1.3/71)</f>
        <v>18.548107042253523</v>
      </c>
      <c r="C461" s="148" t="s">
        <v>1250</v>
      </c>
      <c r="D461" s="139">
        <v>18.548107042253523</v>
      </c>
      <c r="E461" s="144" t="s">
        <v>1250</v>
      </c>
    </row>
    <row r="462" spans="1:5" s="15" customFormat="1" ht="17.850000000000001" hidden="1" customHeight="1" outlineLevel="4">
      <c r="A462" s="70" t="s">
        <v>852</v>
      </c>
      <c r="B462" s="139">
        <f>767.741*(1.3/71)</f>
        <v>14.05722957746479</v>
      </c>
      <c r="C462" s="148" t="s">
        <v>1250</v>
      </c>
      <c r="D462" s="139">
        <v>14.05722957746479</v>
      </c>
      <c r="E462" s="144" t="s">
        <v>1250</v>
      </c>
    </row>
    <row r="463" spans="1:5" s="15" customFormat="1" ht="17.850000000000001" hidden="1" customHeight="1" outlineLevel="4">
      <c r="A463" s="70" t="s">
        <v>853</v>
      </c>
      <c r="B463" s="139">
        <f>1430.416*(1.3/71)</f>
        <v>26.190715492957747</v>
      </c>
      <c r="C463" s="148" t="s">
        <v>1250</v>
      </c>
      <c r="D463" s="139">
        <v>26.190715492957747</v>
      </c>
      <c r="E463" s="144" t="s">
        <v>1250</v>
      </c>
    </row>
    <row r="464" spans="1:5" s="15" customFormat="1" ht="17.850000000000001" hidden="1" customHeight="1" outlineLevel="4">
      <c r="A464" s="70" t="s">
        <v>854</v>
      </c>
      <c r="B464" s="139">
        <f>803.062*(1.3/71)</f>
        <v>14.703952112676056</v>
      </c>
      <c r="C464" s="148" t="s">
        <v>1250</v>
      </c>
      <c r="D464" s="139">
        <v>14.703952112676058</v>
      </c>
      <c r="E464" s="144" t="s">
        <v>1250</v>
      </c>
    </row>
    <row r="465" spans="1:5" s="15" customFormat="1" ht="17.850000000000001" hidden="1" customHeight="1" outlineLevel="4">
      <c r="A465" s="70" t="s">
        <v>855</v>
      </c>
      <c r="B465" s="139">
        <f>814.229*(1.3/71)</f>
        <v>14.908418309859156</v>
      </c>
      <c r="C465" s="148" t="s">
        <v>1250</v>
      </c>
      <c r="D465" s="139">
        <v>14.908418309859156</v>
      </c>
      <c r="E465" s="144" t="s">
        <v>1250</v>
      </c>
    </row>
    <row r="466" spans="1:5" s="15" customFormat="1" ht="17.850000000000001" hidden="1" customHeight="1" outlineLevel="4">
      <c r="A466" s="70" t="s">
        <v>856</v>
      </c>
      <c r="B466" s="139">
        <f>1035.632*(1.3/71)</f>
        <v>18.96227605633803</v>
      </c>
      <c r="C466" s="148" t="s">
        <v>1250</v>
      </c>
      <c r="D466" s="139">
        <v>18.96227605633803</v>
      </c>
      <c r="E466" s="144" t="s">
        <v>1250</v>
      </c>
    </row>
    <row r="467" spans="1:5" s="15" customFormat="1" ht="17.850000000000001" hidden="1" customHeight="1" outlineLevel="4">
      <c r="A467" s="70" t="s">
        <v>857</v>
      </c>
      <c r="B467" s="139">
        <f>4298.242*(1.3/71)</f>
        <v>78.700205633802824</v>
      </c>
      <c r="C467" s="148" t="s">
        <v>1251</v>
      </c>
      <c r="D467" s="139">
        <v>9.837466197183101</v>
      </c>
      <c r="E467" s="144" t="s">
        <v>1250</v>
      </c>
    </row>
    <row r="468" spans="1:5" s="15" customFormat="1" ht="32.85" hidden="1" customHeight="1" outlineLevel="4">
      <c r="A468" s="70" t="s">
        <v>858</v>
      </c>
      <c r="B468" s="139">
        <f>904.293*(1.3/71)</f>
        <v>16.557477464788732</v>
      </c>
      <c r="C468" s="148" t="s">
        <v>1250</v>
      </c>
      <c r="D468" s="139">
        <v>16.557477464788736</v>
      </c>
      <c r="E468" s="144" t="s">
        <v>1250</v>
      </c>
    </row>
    <row r="469" spans="1:5" s="16" customFormat="1" ht="16.350000000000001" hidden="1" customHeight="1" outlineLevel="3" collapsed="1">
      <c r="A469" s="22" t="s">
        <v>859</v>
      </c>
      <c r="B469" s="21"/>
      <c r="C469" s="21"/>
      <c r="D469" s="21"/>
      <c r="E469" s="141"/>
    </row>
    <row r="470" spans="1:5" s="15" customFormat="1" ht="32.85" hidden="1" customHeight="1" outlineLevel="4">
      <c r="A470" s="70" t="s">
        <v>860</v>
      </c>
      <c r="B470" s="139">
        <f>806.871*(1.3/71)</f>
        <v>14.773694366197182</v>
      </c>
      <c r="C470" s="148" t="s">
        <v>1251</v>
      </c>
      <c r="D470" s="139">
        <v>0.61554084507042262</v>
      </c>
      <c r="E470" s="144" t="s">
        <v>141</v>
      </c>
    </row>
    <row r="471" spans="1:5" s="15" customFormat="1" ht="17.850000000000001" hidden="1" customHeight="1" outlineLevel="4">
      <c r="A471" s="70" t="s">
        <v>861</v>
      </c>
      <c r="B471" s="139">
        <f>806.871*(1.3/71)</f>
        <v>14.773694366197182</v>
      </c>
      <c r="C471" s="148" t="s">
        <v>1251</v>
      </c>
      <c r="D471" s="139">
        <v>0.61554084507042262</v>
      </c>
      <c r="E471" s="144" t="s">
        <v>141</v>
      </c>
    </row>
    <row r="472" spans="1:5" s="15" customFormat="1" ht="32.85" hidden="1" customHeight="1" outlineLevel="4">
      <c r="A472" s="70" t="s">
        <v>862</v>
      </c>
      <c r="B472" s="139">
        <f>806.871*(1.3/71)</f>
        <v>14.773694366197182</v>
      </c>
      <c r="C472" s="148" t="s">
        <v>1251</v>
      </c>
      <c r="D472" s="139">
        <v>0.61554084507042262</v>
      </c>
      <c r="E472" s="144" t="s">
        <v>141</v>
      </c>
    </row>
    <row r="473" spans="1:5" s="15" customFormat="1" ht="17.850000000000001" hidden="1" customHeight="1" outlineLevel="4">
      <c r="A473" s="70" t="s">
        <v>863</v>
      </c>
      <c r="B473" s="139">
        <f>1921.881*(1.3/71)</f>
        <v>35.189370422535205</v>
      </c>
      <c r="C473" s="148" t="s">
        <v>1251</v>
      </c>
      <c r="D473" s="139">
        <v>1.4662535211267607</v>
      </c>
      <c r="E473" s="144" t="s">
        <v>141</v>
      </c>
    </row>
    <row r="474" spans="1:5" s="15" customFormat="1" ht="17.850000000000001" hidden="1" customHeight="1" outlineLevel="4">
      <c r="A474" s="70" t="s">
        <v>864</v>
      </c>
      <c r="B474" s="139">
        <f>1390.61*(1.3/71)</f>
        <v>25.461873239436621</v>
      </c>
      <c r="C474" s="148" t="s">
        <v>1251</v>
      </c>
      <c r="D474" s="139">
        <v>0.79572816901408461</v>
      </c>
      <c r="E474" s="144" t="s">
        <v>141</v>
      </c>
    </row>
    <row r="475" spans="1:5" s="15" customFormat="1" ht="17.850000000000001" hidden="1" customHeight="1" outlineLevel="4">
      <c r="A475" s="70" t="s">
        <v>865</v>
      </c>
      <c r="B475" s="139">
        <f>1390.61*(1.3/71)</f>
        <v>25.461873239436621</v>
      </c>
      <c r="C475" s="148" t="s">
        <v>1251</v>
      </c>
      <c r="D475" s="139">
        <v>0.79572816901408461</v>
      </c>
      <c r="E475" s="144" t="s">
        <v>141</v>
      </c>
    </row>
    <row r="476" spans="1:5" s="15" customFormat="1" ht="17.850000000000001" hidden="1" customHeight="1" outlineLevel="4">
      <c r="A476" s="70" t="s">
        <v>866</v>
      </c>
      <c r="B476" s="139">
        <f>1390.61*(1.3/71)</f>
        <v>25.461873239436621</v>
      </c>
      <c r="C476" s="148" t="s">
        <v>1251</v>
      </c>
      <c r="D476" s="139">
        <v>0.79572816901408461</v>
      </c>
      <c r="E476" s="144" t="s">
        <v>141</v>
      </c>
    </row>
    <row r="477" spans="1:5" s="16" customFormat="1" ht="16.350000000000001" hidden="1" customHeight="1" outlineLevel="3" collapsed="1">
      <c r="A477" s="22" t="s">
        <v>867</v>
      </c>
      <c r="B477" s="21"/>
      <c r="C477" s="21"/>
      <c r="D477" s="21"/>
      <c r="E477" s="141"/>
    </row>
    <row r="478" spans="1:5" s="15" customFormat="1" ht="17.850000000000001" hidden="1" customHeight="1" outlineLevel="4">
      <c r="A478" s="70" t="s">
        <v>868</v>
      </c>
      <c r="B478" s="139">
        <f>1195.779*(1.3/71)</f>
        <v>21.894545070422534</v>
      </c>
      <c r="C478" s="148" t="s">
        <v>1251</v>
      </c>
      <c r="D478" s="139">
        <v>21.894545070422534</v>
      </c>
      <c r="E478" s="144" t="s">
        <v>1251</v>
      </c>
    </row>
    <row r="479" spans="1:5" s="15" customFormat="1" ht="17.850000000000001" hidden="1" customHeight="1" outlineLevel="4">
      <c r="A479" s="70" t="s">
        <v>869</v>
      </c>
      <c r="B479" s="139">
        <f>924.56*(1.3/71)</f>
        <v>16.928563380281691</v>
      </c>
      <c r="C479" s="148" t="s">
        <v>1251</v>
      </c>
      <c r="D479" s="139">
        <v>16.928563380281691</v>
      </c>
      <c r="E479" s="144" t="s">
        <v>1251</v>
      </c>
    </row>
    <row r="480" spans="1:5" s="15" customFormat="1" ht="17.850000000000001" hidden="1" customHeight="1" outlineLevel="4">
      <c r="A480" s="70" t="s">
        <v>870</v>
      </c>
      <c r="B480" s="139">
        <f>1386.866*(1.3/71)</f>
        <v>25.393321126760561</v>
      </c>
      <c r="C480" s="148" t="s">
        <v>1251</v>
      </c>
      <c r="D480" s="139">
        <v>25.393321126760561</v>
      </c>
      <c r="E480" s="144" t="s">
        <v>1251</v>
      </c>
    </row>
    <row r="481" spans="1:5" s="15" customFormat="1" ht="17.850000000000001" hidden="1" customHeight="1" outlineLevel="4">
      <c r="A481" s="70" t="s">
        <v>871</v>
      </c>
      <c r="B481" s="139">
        <f>1987.089*(1.3/71)</f>
        <v>36.383319718309856</v>
      </c>
      <c r="C481" s="148" t="s">
        <v>1251</v>
      </c>
      <c r="D481" s="139">
        <v>2.0213352112676057</v>
      </c>
      <c r="E481" s="144" t="s">
        <v>141</v>
      </c>
    </row>
    <row r="482" spans="1:5" s="15" customFormat="1" ht="17.850000000000001" hidden="1" customHeight="1" outlineLevel="4">
      <c r="A482" s="70" t="s">
        <v>872</v>
      </c>
      <c r="B482" s="139">
        <f>1987.089*(1.3/71)</f>
        <v>36.383319718309856</v>
      </c>
      <c r="C482" s="148" t="s">
        <v>1251</v>
      </c>
      <c r="D482" s="139">
        <v>2.0213352112676057</v>
      </c>
      <c r="E482" s="144" t="s">
        <v>141</v>
      </c>
    </row>
    <row r="483" spans="1:5" s="15" customFormat="1" ht="17.850000000000001" hidden="1" customHeight="1" outlineLevel="4">
      <c r="A483" s="70" t="s">
        <v>873</v>
      </c>
      <c r="B483" s="139">
        <f>1987.089*(1.3/71)</f>
        <v>36.383319718309856</v>
      </c>
      <c r="C483" s="148" t="s">
        <v>1251</v>
      </c>
      <c r="D483" s="139">
        <v>2.0213352112676057</v>
      </c>
      <c r="E483" s="144" t="s">
        <v>141</v>
      </c>
    </row>
    <row r="484" spans="1:5" s="16" customFormat="1" ht="16.350000000000001" hidden="1" customHeight="1" outlineLevel="3" collapsed="1">
      <c r="A484" s="22" t="s">
        <v>874</v>
      </c>
      <c r="B484" s="21"/>
      <c r="C484" s="21"/>
      <c r="D484" s="21"/>
      <c r="E484" s="141"/>
    </row>
    <row r="485" spans="1:5" s="15" customFormat="1" ht="17.850000000000001" hidden="1" customHeight="1" outlineLevel="4">
      <c r="A485" s="70" t="s">
        <v>875</v>
      </c>
      <c r="B485" s="139">
        <f>1183.806*(1.3/71)</f>
        <v>21.675321126760565</v>
      </c>
      <c r="C485" s="148" t="s">
        <v>1250</v>
      </c>
      <c r="D485" s="139">
        <v>1.0837422535211267</v>
      </c>
      <c r="E485" s="144" t="s">
        <v>141</v>
      </c>
    </row>
    <row r="486" spans="1:5" s="15" customFormat="1" ht="17.850000000000001" hidden="1" customHeight="1" outlineLevel="4">
      <c r="A486" s="70" t="s">
        <v>876</v>
      </c>
      <c r="B486" s="139">
        <f>1183.806*(1.3/71)</f>
        <v>21.675321126760565</v>
      </c>
      <c r="C486" s="148" t="s">
        <v>1250</v>
      </c>
      <c r="D486" s="139">
        <v>1.0837422535211267</v>
      </c>
      <c r="E486" s="144" t="s">
        <v>141</v>
      </c>
    </row>
    <row r="487" spans="1:5" s="15" customFormat="1" ht="32.85" hidden="1" customHeight="1" outlineLevel="4">
      <c r="A487" s="70" t="s">
        <v>877</v>
      </c>
      <c r="B487" s="139">
        <f>1183.806*(1.3/71)</f>
        <v>21.675321126760565</v>
      </c>
      <c r="C487" s="148" t="s">
        <v>1250</v>
      </c>
      <c r="D487" s="139">
        <v>1.0837422535211267</v>
      </c>
      <c r="E487" s="144" t="s">
        <v>141</v>
      </c>
    </row>
    <row r="488" spans="1:5" s="15" customFormat="1" ht="32.85" hidden="1" customHeight="1" outlineLevel="4">
      <c r="A488" s="70" t="s">
        <v>878</v>
      </c>
      <c r="B488" s="139">
        <f>1403.441*(1.3/71)</f>
        <v>25.696807042253521</v>
      </c>
      <c r="C488" s="148" t="s">
        <v>1250</v>
      </c>
      <c r="D488" s="139">
        <v>1.2237028169014086</v>
      </c>
      <c r="E488" s="144" t="s">
        <v>141</v>
      </c>
    </row>
    <row r="489" spans="1:5" s="15" customFormat="1" ht="32.85" hidden="1" customHeight="1" outlineLevel="4">
      <c r="A489" s="70" t="s">
        <v>879</v>
      </c>
      <c r="B489" s="139">
        <f>1403.441*(1.3/71)</f>
        <v>25.696807042253521</v>
      </c>
      <c r="C489" s="148" t="s">
        <v>1250</v>
      </c>
      <c r="D489" s="139">
        <v>1.2237028169014086</v>
      </c>
      <c r="E489" s="144" t="s">
        <v>141</v>
      </c>
    </row>
    <row r="490" spans="1:5" s="15" customFormat="1" ht="17.850000000000001" hidden="1" customHeight="1" outlineLevel="4">
      <c r="A490" s="70" t="s">
        <v>880</v>
      </c>
      <c r="B490" s="139">
        <f>1470.274*(1.3/71)</f>
        <v>26.920509859154933</v>
      </c>
      <c r="C490" s="148" t="s">
        <v>1250</v>
      </c>
      <c r="D490" s="139">
        <v>1.2237028169014086</v>
      </c>
      <c r="E490" s="144" t="s">
        <v>141</v>
      </c>
    </row>
    <row r="491" spans="1:5" s="16" customFormat="1" ht="16.350000000000001" hidden="1" customHeight="1" outlineLevel="3" collapsed="1">
      <c r="A491" s="22" t="s">
        <v>881</v>
      </c>
      <c r="B491" s="21"/>
      <c r="C491" s="21"/>
      <c r="D491" s="21"/>
      <c r="E491" s="141"/>
    </row>
    <row r="492" spans="1:5" s="15" customFormat="1" ht="17.850000000000001" hidden="1" customHeight="1" outlineLevel="4">
      <c r="A492" s="70" t="s">
        <v>882</v>
      </c>
      <c r="B492" s="139">
        <f>1915.459*(1.3/71)</f>
        <v>35.071784507042253</v>
      </c>
      <c r="C492" s="148" t="s">
        <v>1251</v>
      </c>
      <c r="D492" s="139">
        <v>1.7535535211267606</v>
      </c>
      <c r="E492" s="144" t="s">
        <v>141</v>
      </c>
    </row>
    <row r="493" spans="1:5" s="15" customFormat="1" ht="17.850000000000001" hidden="1" customHeight="1" outlineLevel="4">
      <c r="A493" s="70" t="s">
        <v>883</v>
      </c>
      <c r="B493" s="139">
        <f>1813.578*(1.3/71)</f>
        <v>33.206357746478872</v>
      </c>
      <c r="C493" s="148" t="s">
        <v>1251</v>
      </c>
      <c r="D493" s="139">
        <v>2.0753676056338031</v>
      </c>
      <c r="E493" s="144" t="s">
        <v>141</v>
      </c>
    </row>
    <row r="494" spans="1:5" s="15" customFormat="1" ht="17.850000000000001" hidden="1" customHeight="1" outlineLevel="4">
      <c r="A494" s="70" t="s">
        <v>884</v>
      </c>
      <c r="B494" s="139">
        <f>1757.301*(1.3/71)</f>
        <v>32.1759338028169</v>
      </c>
      <c r="C494" s="148" t="s">
        <v>1251</v>
      </c>
      <c r="D494" s="139">
        <v>2.0111000000000003</v>
      </c>
      <c r="E494" s="144" t="s">
        <v>141</v>
      </c>
    </row>
    <row r="495" spans="1:5" s="15" customFormat="1" ht="17.850000000000001" hidden="1" customHeight="1" outlineLevel="4">
      <c r="A495" s="70" t="s">
        <v>885</v>
      </c>
      <c r="B495" s="139">
        <f>2794.246*(1.3/71)</f>
        <v>51.16225070422535</v>
      </c>
      <c r="C495" s="148" t="s">
        <v>1251</v>
      </c>
      <c r="D495" s="139">
        <v>2.5580887323943666</v>
      </c>
      <c r="E495" s="144" t="s">
        <v>141</v>
      </c>
    </row>
    <row r="496" spans="1:5" s="15" customFormat="1" ht="17.850000000000001" hidden="1" customHeight="1" outlineLevel="4">
      <c r="A496" s="70" t="s">
        <v>886</v>
      </c>
      <c r="B496" s="139">
        <f>2087.917*(1.3/71)</f>
        <v>38.229466197183093</v>
      </c>
      <c r="C496" s="148" t="s">
        <v>1251</v>
      </c>
      <c r="D496" s="139">
        <v>1.9113661971830984</v>
      </c>
      <c r="E496" s="144" t="s">
        <v>141</v>
      </c>
    </row>
    <row r="497" spans="1:5" s="15" customFormat="1" ht="17.850000000000001" hidden="1" customHeight="1" outlineLevel="4">
      <c r="A497" s="70" t="s">
        <v>887</v>
      </c>
      <c r="B497" s="139">
        <f>1757.301*(1.3/71)</f>
        <v>32.1759338028169</v>
      </c>
      <c r="C497" s="148" t="s">
        <v>1251</v>
      </c>
      <c r="D497" s="139">
        <v>2.0111000000000003</v>
      </c>
      <c r="E497" s="144" t="s">
        <v>141</v>
      </c>
    </row>
    <row r="498" spans="1:5" s="15" customFormat="1" ht="17.850000000000001" hidden="1" customHeight="1" outlineLevel="4">
      <c r="A498" s="70" t="s">
        <v>888</v>
      </c>
      <c r="B498" s="139">
        <f>1757.301*(1.3/71)</f>
        <v>32.1759338028169</v>
      </c>
      <c r="C498" s="148" t="s">
        <v>1251</v>
      </c>
      <c r="D498" s="139">
        <v>2.0111000000000003</v>
      </c>
      <c r="E498" s="144" t="s">
        <v>141</v>
      </c>
    </row>
    <row r="499" spans="1:5" s="15" customFormat="1" ht="17.850000000000001" hidden="1" customHeight="1" outlineLevel="4">
      <c r="A499" s="70" t="s">
        <v>889</v>
      </c>
      <c r="B499" s="139">
        <f>2794.246*(1.3/71)</f>
        <v>51.16225070422535</v>
      </c>
      <c r="C499" s="148" t="s">
        <v>1251</v>
      </c>
      <c r="D499" s="139">
        <v>2.5580887323943666</v>
      </c>
      <c r="E499" s="144" t="s">
        <v>141</v>
      </c>
    </row>
    <row r="500" spans="1:5" s="15" customFormat="1" ht="17.850000000000001" hidden="1" customHeight="1" outlineLevel="4">
      <c r="A500" s="70" t="s">
        <v>890</v>
      </c>
      <c r="B500" s="139">
        <f>2794.246*(1.3/71)</f>
        <v>51.16225070422535</v>
      </c>
      <c r="C500" s="148" t="s">
        <v>1251</v>
      </c>
      <c r="D500" s="139">
        <v>2.5580887323943666</v>
      </c>
      <c r="E500" s="144" t="s">
        <v>141</v>
      </c>
    </row>
    <row r="501" spans="1:5" s="15" customFormat="1" ht="17.850000000000001" hidden="1" customHeight="1" outlineLevel="4">
      <c r="A501" s="70" t="s">
        <v>891</v>
      </c>
      <c r="B501" s="139">
        <f>2794.246*(1.3/71)</f>
        <v>51.16225070422535</v>
      </c>
      <c r="C501" s="148" t="s">
        <v>1251</v>
      </c>
      <c r="D501" s="139">
        <v>2.5580887323943666</v>
      </c>
      <c r="E501" s="144" t="s">
        <v>141</v>
      </c>
    </row>
    <row r="502" spans="1:5" s="15" customFormat="1" ht="17.850000000000001" hidden="1" customHeight="1" outlineLevel="4">
      <c r="A502" s="70" t="s">
        <v>892</v>
      </c>
      <c r="B502" s="139">
        <f>1572.662*(1.3/71)</f>
        <v>28.795219718309859</v>
      </c>
      <c r="C502" s="148" t="s">
        <v>1251</v>
      </c>
      <c r="D502" s="139">
        <v>2.8794267605633803</v>
      </c>
      <c r="E502" s="144" t="s">
        <v>141</v>
      </c>
    </row>
    <row r="503" spans="1:5" s="15" customFormat="1" ht="17.850000000000001" hidden="1" customHeight="1" outlineLevel="4">
      <c r="A503" s="70" t="s">
        <v>893</v>
      </c>
      <c r="B503" s="139">
        <f>1532.375*(1.3/71)</f>
        <v>28.05757042253521</v>
      </c>
      <c r="C503" s="148" t="s">
        <v>1251</v>
      </c>
      <c r="D503" s="139">
        <v>1.7535535211267606</v>
      </c>
      <c r="E503" s="144" t="s">
        <v>141</v>
      </c>
    </row>
    <row r="504" spans="1:5" s="15" customFormat="1" ht="17.850000000000001" hidden="1" customHeight="1" outlineLevel="4">
      <c r="A504" s="70" t="s">
        <v>894</v>
      </c>
      <c r="B504" s="139">
        <f>1813.578*(1.3/71)</f>
        <v>33.206357746478872</v>
      </c>
      <c r="C504" s="148" t="s">
        <v>1251</v>
      </c>
      <c r="D504" s="139">
        <v>2.0753676056338031</v>
      </c>
      <c r="E504" s="144" t="s">
        <v>141</v>
      </c>
    </row>
    <row r="505" spans="1:5" s="15" customFormat="1" ht="17.850000000000001" hidden="1" customHeight="1" outlineLevel="4">
      <c r="A505" s="70" t="s">
        <v>895</v>
      </c>
      <c r="B505" s="139">
        <f>2657.213*(1.3/71)</f>
        <v>48.653195774647891</v>
      </c>
      <c r="C505" s="148" t="s">
        <v>1251</v>
      </c>
      <c r="D505" s="139">
        <v>3.0408098591549302</v>
      </c>
      <c r="E505" s="144" t="s">
        <v>141</v>
      </c>
    </row>
    <row r="506" spans="1:5" s="15" customFormat="1" ht="17.850000000000001" hidden="1" customHeight="1" outlineLevel="4">
      <c r="A506" s="70" t="s">
        <v>896</v>
      </c>
      <c r="B506" s="139">
        <f>2235.402*(1.3/71)</f>
        <v>40.929895774647889</v>
      </c>
      <c r="C506" s="148" t="s">
        <v>1251</v>
      </c>
      <c r="D506" s="139">
        <v>2.5580887323943666</v>
      </c>
      <c r="E506" s="144" t="s">
        <v>141</v>
      </c>
    </row>
    <row r="507" spans="1:5" s="16" customFormat="1" ht="16.350000000000001" hidden="1" customHeight="1" outlineLevel="3" collapsed="1">
      <c r="A507" s="22" t="s">
        <v>1255</v>
      </c>
      <c r="B507" s="21"/>
      <c r="C507" s="21"/>
      <c r="D507" s="21"/>
      <c r="E507" s="141"/>
    </row>
    <row r="508" spans="1:5" s="16" customFormat="1" ht="16.350000000000001" hidden="1" customHeight="1" outlineLevel="4" collapsed="1">
      <c r="A508" s="70" t="s">
        <v>897</v>
      </c>
      <c r="B508" s="139">
        <f>0*(1.3/71)</f>
        <v>0</v>
      </c>
      <c r="C508" s="148"/>
      <c r="D508" s="139">
        <v>0</v>
      </c>
      <c r="E508" s="144"/>
    </row>
    <row r="509" spans="1:5" s="15" customFormat="1" ht="17.850000000000001" hidden="1" customHeight="1" outlineLevel="5">
      <c r="A509" s="70" t="s">
        <v>898</v>
      </c>
      <c r="B509" s="139">
        <f>4701.06*(1.3/71)</f>
        <v>86.075746478873228</v>
      </c>
      <c r="C509" s="148" t="s">
        <v>1251</v>
      </c>
      <c r="D509" s="139">
        <v>1.0247112676056338</v>
      </c>
      <c r="E509" s="144" t="s">
        <v>141</v>
      </c>
    </row>
    <row r="510" spans="1:5" s="15" customFormat="1" ht="17.850000000000001" hidden="1" customHeight="1" outlineLevel="5">
      <c r="A510" s="70" t="s">
        <v>899</v>
      </c>
      <c r="B510" s="139">
        <f>2835.924*(1.3/71)</f>
        <v>51.925369014084509</v>
      </c>
      <c r="C510" s="148" t="s">
        <v>1251</v>
      </c>
      <c r="D510" s="139">
        <v>7.4179098591549302</v>
      </c>
      <c r="E510" s="144" t="s">
        <v>1250</v>
      </c>
    </row>
    <row r="511" spans="1:5" s="15" customFormat="1" ht="32.85" hidden="1" customHeight="1" outlineLevel="5">
      <c r="A511" s="70" t="s">
        <v>900</v>
      </c>
      <c r="B511" s="139">
        <f>3179.904*(1.3/71)</f>
        <v>58.223594366197183</v>
      </c>
      <c r="C511" s="148" t="s">
        <v>1251</v>
      </c>
      <c r="D511" s="139">
        <v>0.22755492957746482</v>
      </c>
      <c r="E511" s="144" t="s">
        <v>141</v>
      </c>
    </row>
    <row r="512" spans="1:5" s="15" customFormat="1" ht="17.850000000000001" hidden="1" customHeight="1" outlineLevel="5">
      <c r="A512" s="70" t="s">
        <v>901</v>
      </c>
      <c r="B512" s="139">
        <f>1793.61*(1.3/71)</f>
        <v>32.840746478873243</v>
      </c>
      <c r="C512" s="148" t="s">
        <v>1251</v>
      </c>
      <c r="D512" s="139">
        <v>1.8244859154929582</v>
      </c>
      <c r="E512" s="144" t="s">
        <v>141</v>
      </c>
    </row>
    <row r="513" spans="1:5" s="15" customFormat="1" ht="32.85" hidden="1" customHeight="1" outlineLevel="5">
      <c r="A513" s="70" t="s">
        <v>902</v>
      </c>
      <c r="B513" s="139">
        <f>3128.58*(1.3/71)</f>
        <v>57.283859154929573</v>
      </c>
      <c r="C513" s="148" t="s">
        <v>1251</v>
      </c>
      <c r="D513" s="139">
        <v>0.47748450704225354</v>
      </c>
      <c r="E513" s="144" t="s">
        <v>141</v>
      </c>
    </row>
    <row r="514" spans="1:5" s="15" customFormat="1" ht="32.85" hidden="1" customHeight="1" outlineLevel="5">
      <c r="A514" s="70" t="s">
        <v>903</v>
      </c>
      <c r="B514" s="139">
        <f>3128.58*(1.3/71)</f>
        <v>57.283859154929573</v>
      </c>
      <c r="C514" s="148" t="s">
        <v>1251</v>
      </c>
      <c r="D514" s="139">
        <v>0.47748450704225354</v>
      </c>
      <c r="E514" s="144" t="s">
        <v>141</v>
      </c>
    </row>
    <row r="515" spans="1:5" s="15" customFormat="1" ht="32.85" hidden="1" customHeight="1" outlineLevel="5">
      <c r="A515" s="70" t="s">
        <v>904</v>
      </c>
      <c r="B515" s="139">
        <f>3151.512*(1.3/71)</f>
        <v>57.703740845070413</v>
      </c>
      <c r="C515" s="148" t="s">
        <v>1251</v>
      </c>
      <c r="D515" s="139">
        <v>1.202280281690141</v>
      </c>
      <c r="E515" s="144" t="s">
        <v>141</v>
      </c>
    </row>
    <row r="516" spans="1:5" s="15" customFormat="1" ht="32.85" hidden="1" customHeight="1" outlineLevel="5">
      <c r="A516" s="70" t="s">
        <v>905</v>
      </c>
      <c r="B516" s="139">
        <f>3233.412*(1.3/71)</f>
        <v>59.203318309859149</v>
      </c>
      <c r="C516" s="148" t="s">
        <v>1251</v>
      </c>
      <c r="D516" s="139">
        <v>1.2334619718309858</v>
      </c>
      <c r="E516" s="144" t="s">
        <v>141</v>
      </c>
    </row>
    <row r="517" spans="1:5" s="15" customFormat="1" ht="17.850000000000001" hidden="1" customHeight="1" outlineLevel="5">
      <c r="A517" s="70" t="s">
        <v>906</v>
      </c>
      <c r="B517" s="139">
        <f>3182.036*(1.3/71)</f>
        <v>58.262630985915493</v>
      </c>
      <c r="C517" s="148" t="s">
        <v>1251</v>
      </c>
      <c r="D517" s="139">
        <v>1.120398591549296</v>
      </c>
      <c r="E517" s="144" t="s">
        <v>141</v>
      </c>
    </row>
    <row r="518" spans="1:5" s="15" customFormat="1" ht="17.850000000000001" hidden="1" customHeight="1" outlineLevel="4">
      <c r="A518" s="70" t="s">
        <v>907</v>
      </c>
      <c r="B518" s="139">
        <f>1447.992*(1.3/71)</f>
        <v>26.51252957746479</v>
      </c>
      <c r="C518" s="148" t="s">
        <v>1251</v>
      </c>
      <c r="D518" s="139">
        <v>2.2093774647887323</v>
      </c>
      <c r="E518" s="144" t="s">
        <v>1250</v>
      </c>
    </row>
    <row r="519" spans="1:5" s="15" customFormat="1" ht="17.850000000000001" hidden="1" customHeight="1" outlineLevel="4">
      <c r="A519" s="70" t="s">
        <v>908</v>
      </c>
      <c r="B519" s="139">
        <f>5428.111*(1.3/71)</f>
        <v>99.387947887323961</v>
      </c>
      <c r="C519" s="148" t="s">
        <v>1251</v>
      </c>
      <c r="D519" s="139">
        <v>1.4614929577464792</v>
      </c>
      <c r="E519" s="144" t="s">
        <v>141</v>
      </c>
    </row>
    <row r="520" spans="1:5" s="15" customFormat="1" ht="17.850000000000001" hidden="1" customHeight="1" outlineLevel="4">
      <c r="A520" s="70" t="s">
        <v>909</v>
      </c>
      <c r="B520" s="139">
        <f>6103.838*(1.3/71)</f>
        <v>111.76041408450705</v>
      </c>
      <c r="C520" s="148" t="s">
        <v>1251</v>
      </c>
      <c r="D520" s="139">
        <v>1.3305774647887325</v>
      </c>
      <c r="E520" s="144" t="s">
        <v>141</v>
      </c>
    </row>
    <row r="521" spans="1:5" s="15" customFormat="1" ht="17.850000000000001" hidden="1" customHeight="1" outlineLevel="4">
      <c r="A521" s="70" t="s">
        <v>910</v>
      </c>
      <c r="B521" s="139">
        <f>6103.838*(1.3/71)</f>
        <v>111.76041408450705</v>
      </c>
      <c r="C521" s="148" t="s">
        <v>1251</v>
      </c>
      <c r="D521" s="139">
        <v>1.3305774647887325</v>
      </c>
      <c r="E521" s="144" t="s">
        <v>141</v>
      </c>
    </row>
    <row r="522" spans="1:5" s="15" customFormat="1" ht="17.850000000000001" hidden="1" customHeight="1" outlineLevel="4">
      <c r="A522" s="70" t="s">
        <v>911</v>
      </c>
      <c r="B522" s="139">
        <f>5477.706*(1.3/71)</f>
        <v>100.29602535211268</v>
      </c>
      <c r="C522" s="148" t="s">
        <v>1251</v>
      </c>
      <c r="D522" s="139">
        <v>0.74288591549295779</v>
      </c>
      <c r="E522" s="144" t="s">
        <v>141</v>
      </c>
    </row>
    <row r="523" spans="1:5" s="15" customFormat="1" ht="17.850000000000001" hidden="1" customHeight="1" outlineLevel="4">
      <c r="A523" s="70" t="s">
        <v>912</v>
      </c>
      <c r="B523" s="139">
        <f>3296.969*(1.3/71)</f>
        <v>60.367038028169013</v>
      </c>
      <c r="C523" s="148" t="s">
        <v>1251</v>
      </c>
      <c r="D523" s="139">
        <v>1.0780295774647888</v>
      </c>
      <c r="E523" s="144" t="s">
        <v>141</v>
      </c>
    </row>
    <row r="524" spans="1:5" s="15" customFormat="1" ht="17.850000000000001" hidden="1" customHeight="1" outlineLevel="4">
      <c r="A524" s="70" t="s">
        <v>913</v>
      </c>
      <c r="B524" s="139">
        <f>3831.607*(1.3/71)</f>
        <v>70.156184507042255</v>
      </c>
      <c r="C524" s="148" t="s">
        <v>1251</v>
      </c>
      <c r="D524" s="139">
        <v>1.4614929577464792</v>
      </c>
      <c r="E524" s="144" t="s">
        <v>141</v>
      </c>
    </row>
    <row r="525" spans="1:5" s="15" customFormat="1" ht="17.850000000000001" hidden="1" customHeight="1" outlineLevel="4">
      <c r="A525" s="70" t="s">
        <v>914</v>
      </c>
      <c r="B525" s="139">
        <f>5012.28*(1.3/71)</f>
        <v>91.77414084507042</v>
      </c>
      <c r="C525" s="148" t="s">
        <v>1251</v>
      </c>
      <c r="D525" s="139">
        <v>1.5295690140845073</v>
      </c>
      <c r="E525" s="144" t="s">
        <v>141</v>
      </c>
    </row>
    <row r="526" spans="1:5" s="15" customFormat="1" ht="17.850000000000001" hidden="1" customHeight="1" outlineLevel="4">
      <c r="A526" s="70" t="s">
        <v>915</v>
      </c>
      <c r="B526" s="139">
        <f>5346.432*(1.3/71)</f>
        <v>97.892416901408467</v>
      </c>
      <c r="C526" s="148" t="s">
        <v>1251</v>
      </c>
      <c r="D526" s="139">
        <v>1.5295690140845073</v>
      </c>
      <c r="E526" s="144" t="s">
        <v>141</v>
      </c>
    </row>
    <row r="527" spans="1:5" s="15" customFormat="1" ht="32.85" hidden="1" customHeight="1" outlineLevel="4">
      <c r="A527" s="70" t="s">
        <v>916</v>
      </c>
      <c r="B527" s="139">
        <f>5346.432*(1.3/71)</f>
        <v>97.892416901408467</v>
      </c>
      <c r="C527" s="148" t="s">
        <v>1251</v>
      </c>
      <c r="D527" s="139">
        <v>1.5295690140845073</v>
      </c>
      <c r="E527" s="144" t="s">
        <v>141</v>
      </c>
    </row>
    <row r="528" spans="1:5" s="15" customFormat="1" ht="32.85" hidden="1" customHeight="1" outlineLevel="4">
      <c r="A528" s="70" t="s">
        <v>917</v>
      </c>
      <c r="B528" s="139">
        <f>5680.584*(1.3/71)</f>
        <v>104.01069295774649</v>
      </c>
      <c r="C528" s="148" t="s">
        <v>1251</v>
      </c>
      <c r="D528" s="139">
        <v>1.5295690140845073</v>
      </c>
      <c r="E528" s="144" t="s">
        <v>141</v>
      </c>
    </row>
    <row r="529" spans="1:5" s="15" customFormat="1" ht="17.850000000000001" hidden="1" customHeight="1" outlineLevel="4">
      <c r="A529" s="70" t="s">
        <v>918</v>
      </c>
      <c r="B529" s="139">
        <f>6122.402*(1.3/71)</f>
        <v>112.10031830985916</v>
      </c>
      <c r="C529" s="148" t="s">
        <v>1251</v>
      </c>
      <c r="D529" s="139">
        <v>1.6485830985915495</v>
      </c>
      <c r="E529" s="144" t="s">
        <v>141</v>
      </c>
    </row>
    <row r="530" spans="1:5" s="15" customFormat="1" ht="17.850000000000001" hidden="1" customHeight="1" outlineLevel="4">
      <c r="A530" s="70" t="s">
        <v>919</v>
      </c>
      <c r="B530" s="139">
        <f>5316.597*(1.3/71)</f>
        <v>97.346142253521137</v>
      </c>
      <c r="C530" s="148" t="s">
        <v>1251</v>
      </c>
      <c r="D530" s="139">
        <v>0.72098732394366205</v>
      </c>
      <c r="E530" s="144" t="s">
        <v>141</v>
      </c>
    </row>
    <row r="531" spans="1:5" s="15" customFormat="1" ht="17.850000000000001" hidden="1" customHeight="1" outlineLevel="4">
      <c r="A531" s="70" t="s">
        <v>920</v>
      </c>
      <c r="B531" s="139">
        <f>1329.185*(1.3/71)</f>
        <v>24.337190140845074</v>
      </c>
      <c r="C531" s="148" t="s">
        <v>1251</v>
      </c>
      <c r="D531" s="139">
        <v>3.0422380281690145</v>
      </c>
      <c r="E531" s="144" t="s">
        <v>141</v>
      </c>
    </row>
    <row r="532" spans="1:5" s="15" customFormat="1" ht="17.850000000000001" hidden="1" customHeight="1" outlineLevel="4">
      <c r="A532" s="70" t="s">
        <v>921</v>
      </c>
      <c r="B532" s="139">
        <f>1661.478*(1.3/71)</f>
        <v>30.421428169014085</v>
      </c>
      <c r="C532" s="148" t="s">
        <v>1251</v>
      </c>
      <c r="D532" s="139">
        <v>3.0422380281690145</v>
      </c>
      <c r="E532" s="144" t="s">
        <v>141</v>
      </c>
    </row>
    <row r="533" spans="1:5" s="15" customFormat="1" ht="17.850000000000001" hidden="1" customHeight="1" outlineLevel="4">
      <c r="A533" s="70" t="s">
        <v>922</v>
      </c>
      <c r="B533" s="139">
        <f>1905.202*(1.3/71)</f>
        <v>34.883980281690143</v>
      </c>
      <c r="C533" s="148" t="s">
        <v>1251</v>
      </c>
      <c r="D533" s="139">
        <v>4.360438028169014</v>
      </c>
      <c r="E533" s="144" t="s">
        <v>141</v>
      </c>
    </row>
    <row r="534" spans="1:5" s="15" customFormat="1" ht="17.850000000000001" hidden="1" customHeight="1" outlineLevel="4">
      <c r="A534" s="70" t="s">
        <v>923</v>
      </c>
      <c r="B534" s="139">
        <f>3087.994*(1.3/71)</f>
        <v>56.540735211267609</v>
      </c>
      <c r="C534" s="148" t="s">
        <v>1251</v>
      </c>
      <c r="D534" s="139">
        <v>7.0675323943661983</v>
      </c>
      <c r="E534" s="144" t="s">
        <v>141</v>
      </c>
    </row>
    <row r="535" spans="1:5" s="15" customFormat="1" ht="17.850000000000001" hidden="1" customHeight="1" outlineLevel="4">
      <c r="A535" s="70" t="s">
        <v>924</v>
      </c>
      <c r="B535" s="139">
        <f>2883.257*(1.3/71)</f>
        <v>52.792029577464788</v>
      </c>
      <c r="C535" s="148" t="s">
        <v>1251</v>
      </c>
      <c r="D535" s="139">
        <v>4.3992366197183097</v>
      </c>
      <c r="E535" s="144" t="s">
        <v>141</v>
      </c>
    </row>
    <row r="536" spans="1:5" s="15" customFormat="1" ht="17.850000000000001" hidden="1" customHeight="1" outlineLevel="4">
      <c r="A536" s="70" t="s">
        <v>925</v>
      </c>
      <c r="B536" s="139">
        <f>1984.489*(1.3/71)</f>
        <v>36.335714084507046</v>
      </c>
      <c r="C536" s="148" t="s">
        <v>1251</v>
      </c>
      <c r="D536" s="139">
        <v>5.1909183098591551</v>
      </c>
      <c r="E536" s="144" t="s">
        <v>141</v>
      </c>
    </row>
    <row r="537" spans="1:5" s="15" customFormat="1" ht="17.850000000000001" hidden="1" customHeight="1" outlineLevel="4">
      <c r="A537" s="70" t="s">
        <v>926</v>
      </c>
      <c r="B537" s="139">
        <f>3178.162*(1.3/71)</f>
        <v>58.19169859154929</v>
      </c>
      <c r="C537" s="148" t="s">
        <v>1251</v>
      </c>
      <c r="D537" s="139">
        <v>7.2739028169014084</v>
      </c>
      <c r="E537" s="144" t="s">
        <v>141</v>
      </c>
    </row>
    <row r="538" spans="1:5" s="15" customFormat="1" ht="17.850000000000001" hidden="1" customHeight="1" outlineLevel="4">
      <c r="A538" s="70" t="s">
        <v>927</v>
      </c>
      <c r="B538" s="139">
        <f>840.684*(1.3/71)</f>
        <v>15.392805633802816</v>
      </c>
      <c r="C538" s="148" t="s">
        <v>1251</v>
      </c>
      <c r="D538" s="139">
        <v>3.07865633802817</v>
      </c>
      <c r="E538" s="144" t="s">
        <v>141</v>
      </c>
    </row>
    <row r="539" spans="1:5" s="15" customFormat="1" ht="17.850000000000001" hidden="1" customHeight="1" outlineLevel="4">
      <c r="A539" s="70" t="s">
        <v>928</v>
      </c>
      <c r="B539" s="139">
        <f>2396.342*(1.3/71)</f>
        <v>43.876684507042256</v>
      </c>
      <c r="C539" s="148" t="s">
        <v>1251</v>
      </c>
      <c r="D539" s="139">
        <v>5.4846450704225358</v>
      </c>
      <c r="E539" s="144" t="s">
        <v>141</v>
      </c>
    </row>
    <row r="540" spans="1:5" s="15" customFormat="1" ht="17.850000000000001" hidden="1" customHeight="1" outlineLevel="4">
      <c r="A540" s="70" t="s">
        <v>929</v>
      </c>
      <c r="B540" s="139">
        <f>3389.256*(1.3/71)</f>
        <v>62.056799999999996</v>
      </c>
      <c r="C540" s="148" t="s">
        <v>1251</v>
      </c>
      <c r="D540" s="139">
        <v>7.7571000000000003</v>
      </c>
      <c r="E540" s="144" t="s">
        <v>141</v>
      </c>
    </row>
    <row r="541" spans="1:5" s="15" customFormat="1" ht="17.850000000000001" hidden="1" customHeight="1" outlineLevel="4">
      <c r="A541" s="70" t="s">
        <v>930</v>
      </c>
      <c r="B541" s="139">
        <f>2472.73*(1.3/71)</f>
        <v>45.275338028169017</v>
      </c>
      <c r="C541" s="148" t="s">
        <v>1251</v>
      </c>
      <c r="D541" s="139">
        <v>5.6593577464788734</v>
      </c>
      <c r="E541" s="144" t="s">
        <v>141</v>
      </c>
    </row>
    <row r="542" spans="1:5" s="15" customFormat="1" ht="17.850000000000001" hidden="1" customHeight="1" outlineLevel="4">
      <c r="A542" s="70" t="s">
        <v>931</v>
      </c>
      <c r="B542" s="139">
        <f>3137.849*(1.3/71)</f>
        <v>57.453573239436622</v>
      </c>
      <c r="C542" s="148" t="s">
        <v>1251</v>
      </c>
      <c r="D542" s="139">
        <v>3.5908929577464797</v>
      </c>
      <c r="E542" s="144" t="s">
        <v>141</v>
      </c>
    </row>
    <row r="543" spans="1:5" s="15" customFormat="1" ht="17.850000000000001" hidden="1" customHeight="1" outlineLevel="4">
      <c r="A543" s="70" t="s">
        <v>932</v>
      </c>
      <c r="B543" s="139">
        <f>2584.114*(1.3/71)</f>
        <v>47.31476338028169</v>
      </c>
      <c r="C543" s="148" t="s">
        <v>1251</v>
      </c>
      <c r="D543" s="139">
        <v>5.9142859154929583</v>
      </c>
      <c r="E543" s="144" t="s">
        <v>141</v>
      </c>
    </row>
    <row r="544" spans="1:5" s="15" customFormat="1" ht="17.850000000000001" hidden="1" customHeight="1" outlineLevel="4">
      <c r="A544" s="70" t="s">
        <v>933</v>
      </c>
      <c r="B544" s="139">
        <f>4173.182*(1.3/71)</f>
        <v>76.410374647887323</v>
      </c>
      <c r="C544" s="148" t="s">
        <v>1251</v>
      </c>
      <c r="D544" s="139">
        <v>1.3643774647887326</v>
      </c>
      <c r="E544" s="144" t="s">
        <v>141</v>
      </c>
    </row>
    <row r="545" spans="1:5" s="15" customFormat="1" ht="17.850000000000001" hidden="1" customHeight="1" outlineLevel="4">
      <c r="A545" s="70" t="s">
        <v>934</v>
      </c>
      <c r="B545" s="139">
        <f>3111.329*(1.3/71)</f>
        <v>56.967995774647889</v>
      </c>
      <c r="C545" s="148" t="s">
        <v>1251</v>
      </c>
      <c r="D545" s="139">
        <v>1.0173323943661974</v>
      </c>
      <c r="E545" s="144" t="s">
        <v>141</v>
      </c>
    </row>
    <row r="546" spans="1:5" s="15" customFormat="1" ht="17.850000000000001" hidden="1" customHeight="1" outlineLevel="4">
      <c r="A546" s="70" t="s">
        <v>935</v>
      </c>
      <c r="B546" s="139">
        <f>6820.281*(1.3/71)</f>
        <v>124.87838450704226</v>
      </c>
      <c r="C546" s="148" t="s">
        <v>1251</v>
      </c>
      <c r="D546" s="139">
        <v>0.92497746478873244</v>
      </c>
      <c r="E546" s="144" t="s">
        <v>141</v>
      </c>
    </row>
    <row r="547" spans="1:5" s="15" customFormat="1" ht="17.850000000000001" hidden="1" customHeight="1" outlineLevel="4">
      <c r="A547" s="70" t="s">
        <v>936</v>
      </c>
      <c r="B547" s="139">
        <f>5378.256*(1.3/71)</f>
        <v>98.475109859154941</v>
      </c>
      <c r="C547" s="148" t="s">
        <v>1251</v>
      </c>
      <c r="D547" s="139">
        <v>1.230843661971831</v>
      </c>
      <c r="E547" s="144" t="s">
        <v>141</v>
      </c>
    </row>
    <row r="548" spans="1:5" s="15" customFormat="1" ht="17.850000000000001" hidden="1" customHeight="1" outlineLevel="4">
      <c r="A548" s="70" t="s">
        <v>937</v>
      </c>
      <c r="B548" s="139">
        <f>2980.848*(1.3/71)</f>
        <v>54.578907042253519</v>
      </c>
      <c r="C548" s="148" t="s">
        <v>1251</v>
      </c>
      <c r="D548" s="139">
        <v>1.3643774647887326</v>
      </c>
      <c r="E548" s="144" t="s">
        <v>141</v>
      </c>
    </row>
    <row r="549" spans="1:5" s="16" customFormat="1" ht="16.350000000000001" hidden="1" customHeight="1" outlineLevel="3" collapsed="1">
      <c r="A549" s="22" t="s">
        <v>1256</v>
      </c>
      <c r="B549" s="21"/>
      <c r="C549" s="21"/>
      <c r="D549" s="21"/>
      <c r="E549" s="141"/>
    </row>
    <row r="550" spans="1:5" s="15" customFormat="1" ht="32.85" hidden="1" customHeight="1" outlineLevel="4">
      <c r="A550" s="70" t="s">
        <v>938</v>
      </c>
      <c r="B550" s="139">
        <f>2958.436*(1.3/71)</f>
        <v>54.168546478873232</v>
      </c>
      <c r="C550" s="148" t="s">
        <v>1251</v>
      </c>
      <c r="D550" s="139">
        <v>3.0093901408450705</v>
      </c>
      <c r="E550" s="144" t="s">
        <v>141</v>
      </c>
    </row>
    <row r="551" spans="1:5" s="15" customFormat="1" ht="32.85" hidden="1" customHeight="1" outlineLevel="4">
      <c r="A551" s="70" t="s">
        <v>939</v>
      </c>
      <c r="B551" s="139">
        <f>3528.707*(1.3/71)</f>
        <v>64.610128169014075</v>
      </c>
      <c r="C551" s="148" t="s">
        <v>1251</v>
      </c>
      <c r="D551" s="139">
        <v>3.2305183098591552</v>
      </c>
      <c r="E551" s="144" t="s">
        <v>141</v>
      </c>
    </row>
    <row r="552" spans="1:5" s="15" customFormat="1" ht="32.85" hidden="1" customHeight="1" outlineLevel="4">
      <c r="A552" s="70" t="s">
        <v>940</v>
      </c>
      <c r="B552" s="139">
        <f>754.975*(1.3/71)</f>
        <v>13.823485915492958</v>
      </c>
      <c r="C552" s="148" t="s">
        <v>1251</v>
      </c>
      <c r="D552" s="139">
        <v>1.7278464788732395</v>
      </c>
      <c r="E552" s="144" t="s">
        <v>141</v>
      </c>
    </row>
    <row r="553" spans="1:5" s="15" customFormat="1" ht="32.85" hidden="1" customHeight="1" outlineLevel="4">
      <c r="A553" s="70" t="s">
        <v>941</v>
      </c>
      <c r="B553" s="139">
        <f>1000.87*(1.3/71)</f>
        <v>18.325788732394365</v>
      </c>
      <c r="C553" s="148" t="s">
        <v>1251</v>
      </c>
      <c r="D553" s="139">
        <v>0.9164084507042255</v>
      </c>
      <c r="E553" s="144" t="s">
        <v>141</v>
      </c>
    </row>
    <row r="554" spans="1:5" s="15" customFormat="1" ht="32.85" hidden="1" customHeight="1" outlineLevel="4">
      <c r="A554" s="70" t="s">
        <v>942</v>
      </c>
      <c r="B554" s="139">
        <f>2016.963*(1.3/71)</f>
        <v>36.930308450704224</v>
      </c>
      <c r="C554" s="148" t="s">
        <v>1251</v>
      </c>
      <c r="D554" s="139">
        <v>1.5388521126760568</v>
      </c>
      <c r="E554" s="144" t="s">
        <v>141</v>
      </c>
    </row>
    <row r="555" spans="1:5" s="15" customFormat="1" ht="32.85" hidden="1" customHeight="1" outlineLevel="4">
      <c r="A555" s="70" t="s">
        <v>943</v>
      </c>
      <c r="B555" s="139">
        <f>3706.495*(1.3/71)</f>
        <v>67.865401408450708</v>
      </c>
      <c r="C555" s="148" t="s">
        <v>1251</v>
      </c>
      <c r="D555" s="139">
        <v>3.3933295774647889</v>
      </c>
      <c r="E555" s="144" t="s">
        <v>141</v>
      </c>
    </row>
    <row r="556" spans="1:5" s="15" customFormat="1" ht="32.85" hidden="1" customHeight="1" outlineLevel="4">
      <c r="A556" s="70" t="s">
        <v>944</v>
      </c>
      <c r="B556" s="139">
        <f>3016.442*(1.3/71)</f>
        <v>55.230628169014089</v>
      </c>
      <c r="C556" s="148" t="s">
        <v>1251</v>
      </c>
      <c r="D556" s="139">
        <v>2.3012563380281694</v>
      </c>
      <c r="E556" s="144" t="s">
        <v>141</v>
      </c>
    </row>
    <row r="557" spans="1:5" s="15" customFormat="1" ht="32.85" hidden="1" customHeight="1" outlineLevel="4">
      <c r="A557" s="70" t="s">
        <v>945</v>
      </c>
      <c r="B557" s="139">
        <f>3339.102*(1.3/71)</f>
        <v>61.138487323943657</v>
      </c>
      <c r="C557" s="148" t="s">
        <v>1251</v>
      </c>
      <c r="D557" s="139">
        <v>3.0569957746478877</v>
      </c>
      <c r="E557" s="144" t="s">
        <v>141</v>
      </c>
    </row>
    <row r="558" spans="1:5" s="15" customFormat="1" ht="17.850000000000001" hidden="1" customHeight="1" outlineLevel="4">
      <c r="A558" s="70" t="s">
        <v>946</v>
      </c>
      <c r="B558" s="139">
        <f>1000.87*(1.3/71)</f>
        <v>18.325788732394365</v>
      </c>
      <c r="C558" s="148" t="s">
        <v>1251</v>
      </c>
      <c r="D558" s="139">
        <v>0.9164084507042255</v>
      </c>
      <c r="E558" s="144" t="s">
        <v>141</v>
      </c>
    </row>
    <row r="559" spans="1:5" s="15" customFormat="1" ht="32.85" hidden="1" customHeight="1" outlineLevel="4">
      <c r="A559" s="70" t="s">
        <v>947</v>
      </c>
      <c r="B559" s="139">
        <f>2309.086*(1.3/71)</f>
        <v>42.279039436619719</v>
      </c>
      <c r="C559" s="148" t="s">
        <v>1251</v>
      </c>
      <c r="D559" s="139">
        <v>2.3488619718309867</v>
      </c>
      <c r="E559" s="144" t="s">
        <v>141</v>
      </c>
    </row>
    <row r="560" spans="1:5" s="15" customFormat="1" ht="32.85" hidden="1" customHeight="1" outlineLevel="4">
      <c r="A560" s="70" t="s">
        <v>948</v>
      </c>
      <c r="B560" s="139">
        <f>1481.675*(1.3/71)</f>
        <v>27.129260563380281</v>
      </c>
      <c r="C560" s="148" t="s">
        <v>1251</v>
      </c>
      <c r="D560" s="139">
        <v>1.3565225352112678</v>
      </c>
      <c r="E560" s="144" t="s">
        <v>141</v>
      </c>
    </row>
    <row r="561" spans="1:5" s="15" customFormat="1" ht="32.85" hidden="1" customHeight="1" outlineLevel="4">
      <c r="A561" s="70" t="s">
        <v>949</v>
      </c>
      <c r="B561" s="139">
        <f>1911.689*(1.3/71)</f>
        <v>35.002756338028171</v>
      </c>
      <c r="C561" s="148" t="s">
        <v>1251</v>
      </c>
      <c r="D561" s="139">
        <v>1.7502211267605634</v>
      </c>
      <c r="E561" s="144" t="s">
        <v>141</v>
      </c>
    </row>
    <row r="562" spans="1:5" s="15" customFormat="1" ht="32.85" hidden="1" customHeight="1" outlineLevel="4">
      <c r="A562" s="70" t="s">
        <v>950</v>
      </c>
      <c r="B562" s="139">
        <f>2880.8*(1.3/71)</f>
        <v>52.74704225352113</v>
      </c>
      <c r="C562" s="148" t="s">
        <v>1251</v>
      </c>
      <c r="D562" s="139">
        <v>2.6373521126760564</v>
      </c>
      <c r="E562" s="144" t="s">
        <v>141</v>
      </c>
    </row>
    <row r="563" spans="1:5" s="15" customFormat="1" ht="17.850000000000001" hidden="1" customHeight="1" outlineLevel="4">
      <c r="A563" s="70" t="s">
        <v>951</v>
      </c>
      <c r="B563" s="139">
        <f>1302.743*(1.3/71)</f>
        <v>23.853040845070424</v>
      </c>
      <c r="C563" s="148" t="s">
        <v>1251</v>
      </c>
      <c r="D563" s="139">
        <v>1.1927591549295775</v>
      </c>
      <c r="E563" s="144" t="s">
        <v>141</v>
      </c>
    </row>
    <row r="564" spans="1:5" s="15" customFormat="1" ht="32.85" hidden="1" customHeight="1" outlineLevel="4">
      <c r="A564" s="70" t="s">
        <v>952</v>
      </c>
      <c r="B564" s="139">
        <f>1006.343*(1.3/71)</f>
        <v>18.425998591549298</v>
      </c>
      <c r="C564" s="148" t="s">
        <v>1251</v>
      </c>
      <c r="D564" s="139">
        <v>0.9214070422535211</v>
      </c>
      <c r="E564" s="144" t="s">
        <v>141</v>
      </c>
    </row>
    <row r="565" spans="1:5" s="15" customFormat="1" ht="32.85" hidden="1" customHeight="1" outlineLevel="4">
      <c r="A565" s="70" t="s">
        <v>953</v>
      </c>
      <c r="B565" s="139">
        <f>445.601*(1.3/71)</f>
        <v>8.1588915492957739</v>
      </c>
      <c r="C565" s="148" t="s">
        <v>1251</v>
      </c>
      <c r="D565" s="139">
        <v>1.0199507042253524</v>
      </c>
      <c r="E565" s="144" t="s">
        <v>141</v>
      </c>
    </row>
    <row r="566" spans="1:5" s="15" customFormat="1" ht="32.85" hidden="1" customHeight="1" outlineLevel="4">
      <c r="A566" s="70" t="s">
        <v>954</v>
      </c>
      <c r="B566" s="139">
        <f>1107.353*(1.3/71)</f>
        <v>20.275477464788732</v>
      </c>
      <c r="C566" s="148" t="s">
        <v>1251</v>
      </c>
      <c r="D566" s="139">
        <v>1.013761971830986</v>
      </c>
      <c r="E566" s="144" t="s">
        <v>141</v>
      </c>
    </row>
    <row r="567" spans="1:5" s="15" customFormat="1" ht="32.85" hidden="1" customHeight="1" outlineLevel="4">
      <c r="A567" s="70" t="s">
        <v>955</v>
      </c>
      <c r="B567" s="139">
        <f>2667.795*(1.3/71)</f>
        <v>48.84695070422535</v>
      </c>
      <c r="C567" s="148" t="s">
        <v>1251</v>
      </c>
      <c r="D567" s="139">
        <v>2.7137591549295781</v>
      </c>
      <c r="E567" s="144" t="s">
        <v>141</v>
      </c>
    </row>
    <row r="568" spans="1:5" s="15" customFormat="1" ht="32.85" hidden="1" customHeight="1" outlineLevel="4">
      <c r="A568" s="70" t="s">
        <v>956</v>
      </c>
      <c r="B568" s="139">
        <f>2178.007*(1.3/71)</f>
        <v>39.879001408450705</v>
      </c>
      <c r="C568" s="148" t="s">
        <v>1251</v>
      </c>
      <c r="D568" s="139">
        <v>1.6616746478873241</v>
      </c>
      <c r="E568" s="144" t="s">
        <v>141</v>
      </c>
    </row>
    <row r="569" spans="1:5" s="15" customFormat="1" ht="17.850000000000001" hidden="1" customHeight="1" outlineLevel="4">
      <c r="A569" s="70" t="s">
        <v>957</v>
      </c>
      <c r="B569" s="139">
        <f>1006.343*(1.3/71)</f>
        <v>18.425998591549298</v>
      </c>
      <c r="C569" s="148" t="s">
        <v>1251</v>
      </c>
      <c r="D569" s="139">
        <v>0.9214070422535211</v>
      </c>
      <c r="E569" s="144" t="s">
        <v>141</v>
      </c>
    </row>
    <row r="570" spans="1:5" s="15" customFormat="1" ht="17.850000000000001" hidden="1" customHeight="1" outlineLevel="4">
      <c r="A570" s="70" t="s">
        <v>958</v>
      </c>
      <c r="B570" s="139">
        <f>2007.213*(1.3/71)</f>
        <v>36.75178732394366</v>
      </c>
      <c r="C570" s="148" t="s">
        <v>1251</v>
      </c>
      <c r="D570" s="139">
        <v>1.8375774647887326</v>
      </c>
      <c r="E570" s="144" t="s">
        <v>141</v>
      </c>
    </row>
    <row r="571" spans="1:5" s="15" customFormat="1" ht="32.85" hidden="1" customHeight="1" outlineLevel="4">
      <c r="A571" s="70" t="s">
        <v>959</v>
      </c>
      <c r="B571" s="139">
        <f>3405.194*(1.3/71)</f>
        <v>62.348622535211277</v>
      </c>
      <c r="C571" s="148" t="s">
        <v>1251</v>
      </c>
      <c r="D571" s="139">
        <v>3.463785915492958</v>
      </c>
      <c r="E571" s="144" t="s">
        <v>141</v>
      </c>
    </row>
    <row r="572" spans="1:5" s="15" customFormat="1" ht="32.85" hidden="1" customHeight="1" outlineLevel="4">
      <c r="A572" s="70" t="s">
        <v>960</v>
      </c>
      <c r="B572" s="139">
        <f>1746.316*(1.3/71)</f>
        <v>31.974800000000002</v>
      </c>
      <c r="C572" s="148" t="s">
        <v>1251</v>
      </c>
      <c r="D572" s="139">
        <v>1.5988352112676059</v>
      </c>
      <c r="E572" s="144" t="s">
        <v>141</v>
      </c>
    </row>
    <row r="573" spans="1:5" s="15" customFormat="1" ht="32.85" hidden="1" customHeight="1" outlineLevel="4">
      <c r="A573" s="70" t="s">
        <v>961</v>
      </c>
      <c r="B573" s="139">
        <f>524.095*(1.3/71)</f>
        <v>9.5961056338028179</v>
      </c>
      <c r="C573" s="148" t="s">
        <v>1251</v>
      </c>
      <c r="D573" s="139">
        <v>1.199423943661972</v>
      </c>
      <c r="E573" s="144" t="s">
        <v>141</v>
      </c>
    </row>
    <row r="574" spans="1:5" s="15" customFormat="1" ht="32.85" hidden="1" customHeight="1" outlineLevel="4">
      <c r="A574" s="70" t="s">
        <v>962</v>
      </c>
      <c r="B574" s="139">
        <f>3972.982*(1.3/71)</f>
        <v>72.744740845070424</v>
      </c>
      <c r="C574" s="148" t="s">
        <v>1251</v>
      </c>
      <c r="D574" s="139">
        <v>3.0310507042253523</v>
      </c>
      <c r="E574" s="144" t="s">
        <v>141</v>
      </c>
    </row>
    <row r="575" spans="1:5" s="15" customFormat="1" ht="32.85" hidden="1" customHeight="1" outlineLevel="4">
      <c r="A575" s="70" t="s">
        <v>963</v>
      </c>
      <c r="B575" s="139">
        <f>1840.111*(1.3/71)</f>
        <v>33.69217323943662</v>
      </c>
      <c r="C575" s="148" t="s">
        <v>1251</v>
      </c>
      <c r="D575" s="139">
        <v>1.6845253521126762</v>
      </c>
      <c r="E575" s="144" t="s">
        <v>141</v>
      </c>
    </row>
    <row r="576" spans="1:5" s="15" customFormat="1" ht="32.85" hidden="1" customHeight="1" outlineLevel="4">
      <c r="A576" s="70" t="s">
        <v>964</v>
      </c>
      <c r="B576" s="139">
        <f>1714.284*(1.3/71)</f>
        <v>31.388298591549297</v>
      </c>
      <c r="C576" s="148" t="s">
        <v>1251</v>
      </c>
      <c r="D576" s="139">
        <v>2.6156915492957746</v>
      </c>
      <c r="E576" s="144" t="s">
        <v>141</v>
      </c>
    </row>
    <row r="577" spans="1:5" s="15" customFormat="1" ht="32.85" hidden="1" customHeight="1" outlineLevel="4">
      <c r="A577" s="70" t="s">
        <v>965</v>
      </c>
      <c r="B577" s="139">
        <f>3259.477*(1.3/71)</f>
        <v>59.68056478873239</v>
      </c>
      <c r="C577" s="148" t="s">
        <v>1251</v>
      </c>
      <c r="D577" s="139">
        <v>3.3154943661971834</v>
      </c>
      <c r="E577" s="144" t="s">
        <v>141</v>
      </c>
    </row>
    <row r="578" spans="1:5" s="15" customFormat="1" ht="32.85" hidden="1" customHeight="1" outlineLevel="4">
      <c r="A578" s="70" t="s">
        <v>966</v>
      </c>
      <c r="B578" s="139">
        <f>896.103*(1.3/71)</f>
        <v>16.407519718309857</v>
      </c>
      <c r="C578" s="148" t="s">
        <v>1251</v>
      </c>
      <c r="D578" s="139">
        <v>0.82048309859154933</v>
      </c>
      <c r="E578" s="144" t="s">
        <v>141</v>
      </c>
    </row>
    <row r="579" spans="1:5" s="16" customFormat="1" ht="16.350000000000001" hidden="1" customHeight="1" outlineLevel="3" collapsed="1">
      <c r="A579" s="22" t="s">
        <v>967</v>
      </c>
      <c r="B579" s="21"/>
      <c r="C579" s="21"/>
      <c r="D579" s="21"/>
      <c r="E579" s="141"/>
    </row>
    <row r="580" spans="1:5" s="15" customFormat="1" ht="32.85" hidden="1" customHeight="1" outlineLevel="4">
      <c r="A580" s="70" t="s">
        <v>968</v>
      </c>
      <c r="B580" s="139">
        <f>61.425*(1.3/71)</f>
        <v>1.1246830985915495</v>
      </c>
      <c r="C580" s="148" t="s">
        <v>141</v>
      </c>
      <c r="D580" s="139">
        <v>1.1246830985915495</v>
      </c>
      <c r="E580" s="144" t="s">
        <v>141</v>
      </c>
    </row>
    <row r="581" spans="1:5" s="15" customFormat="1" ht="32.85" hidden="1" customHeight="1" outlineLevel="4">
      <c r="A581" s="70" t="s">
        <v>969</v>
      </c>
      <c r="B581" s="139">
        <f>727.272*(1.3/71)</f>
        <v>13.316247887323945</v>
      </c>
      <c r="C581" s="148" t="s">
        <v>1251</v>
      </c>
      <c r="D581" s="139">
        <v>1.4795830985915492</v>
      </c>
      <c r="E581" s="144" t="s">
        <v>141</v>
      </c>
    </row>
    <row r="582" spans="1:5" s="15" customFormat="1" ht="32.85" hidden="1" customHeight="1" outlineLevel="4">
      <c r="A582" s="70" t="s">
        <v>970</v>
      </c>
      <c r="B582" s="139">
        <f>808.08*(1.3/71)</f>
        <v>14.795830985915494</v>
      </c>
      <c r="C582" s="148" t="s">
        <v>1251</v>
      </c>
      <c r="D582" s="139">
        <v>1.4795830985915492</v>
      </c>
      <c r="E582" s="144" t="s">
        <v>141</v>
      </c>
    </row>
    <row r="583" spans="1:5" s="15" customFormat="1" ht="32.85" hidden="1" customHeight="1" outlineLevel="4">
      <c r="A583" s="70" t="s">
        <v>971</v>
      </c>
      <c r="B583" s="139">
        <f>808.08*(1.3/71)</f>
        <v>14.795830985915494</v>
      </c>
      <c r="C583" s="148" t="s">
        <v>1251</v>
      </c>
      <c r="D583" s="139">
        <v>1.4795830985915492</v>
      </c>
      <c r="E583" s="144" t="s">
        <v>141</v>
      </c>
    </row>
    <row r="584" spans="1:5" s="15" customFormat="1" ht="32.85" hidden="1" customHeight="1" outlineLevel="4">
      <c r="A584" s="70" t="s">
        <v>972</v>
      </c>
      <c r="B584" s="139">
        <f>808.08*(1.3/71)</f>
        <v>14.795830985915494</v>
      </c>
      <c r="C584" s="148" t="s">
        <v>1251</v>
      </c>
      <c r="D584" s="139">
        <v>1.4795830985915492</v>
      </c>
      <c r="E584" s="144" t="s">
        <v>141</v>
      </c>
    </row>
    <row r="585" spans="1:5" s="15" customFormat="1" ht="17.850000000000001" hidden="1" customHeight="1" outlineLevel="4">
      <c r="A585" s="70" t="s">
        <v>973</v>
      </c>
      <c r="B585" s="139">
        <f>843.843*(1.3/71)</f>
        <v>15.45064647887324</v>
      </c>
      <c r="C585" s="148" t="s">
        <v>1251</v>
      </c>
      <c r="D585" s="139">
        <v>1.4046042253521127</v>
      </c>
      <c r="E585" s="144" t="s">
        <v>141</v>
      </c>
    </row>
    <row r="586" spans="1:5" s="15" customFormat="1" ht="17.850000000000001" hidden="1" customHeight="1" outlineLevel="4">
      <c r="A586" s="70" t="s">
        <v>974</v>
      </c>
      <c r="B586" s="139">
        <f>843.843*(1.3/71)</f>
        <v>15.45064647887324</v>
      </c>
      <c r="C586" s="148" t="s">
        <v>1251</v>
      </c>
      <c r="D586" s="139">
        <v>1.4046042253521127</v>
      </c>
      <c r="E586" s="144" t="s">
        <v>141</v>
      </c>
    </row>
    <row r="587" spans="1:5" s="15" customFormat="1" ht="32.85" hidden="1" customHeight="1" outlineLevel="4">
      <c r="A587" s="70" t="s">
        <v>975</v>
      </c>
      <c r="B587" s="139">
        <f>888.888*(1.3/71)</f>
        <v>16.275414084507045</v>
      </c>
      <c r="C587" s="148" t="s">
        <v>1251</v>
      </c>
      <c r="D587" s="139">
        <v>1.4795830985915492</v>
      </c>
      <c r="E587" s="144" t="s">
        <v>141</v>
      </c>
    </row>
    <row r="588" spans="1:5" s="15" customFormat="1" ht="17.850000000000001" hidden="1" customHeight="1" outlineLevel="4">
      <c r="A588" s="70" t="s">
        <v>976</v>
      </c>
      <c r="B588" s="139">
        <f>843.843*(1.3/71)</f>
        <v>15.45064647887324</v>
      </c>
      <c r="C588" s="148" t="s">
        <v>1251</v>
      </c>
      <c r="D588" s="139">
        <v>1.4046042253521127</v>
      </c>
      <c r="E588" s="144" t="s">
        <v>141</v>
      </c>
    </row>
    <row r="589" spans="1:5" s="15" customFormat="1" ht="32.85" hidden="1" customHeight="1" outlineLevel="4">
      <c r="A589" s="70" t="s">
        <v>977</v>
      </c>
      <c r="B589" s="139">
        <f>843.843*(1.3/71)</f>
        <v>15.45064647887324</v>
      </c>
      <c r="C589" s="148" t="s">
        <v>1251</v>
      </c>
      <c r="D589" s="139">
        <v>1.4046042253521127</v>
      </c>
      <c r="E589" s="144" t="s">
        <v>141</v>
      </c>
    </row>
    <row r="590" spans="1:5" s="15" customFormat="1" ht="32.85" hidden="1" customHeight="1" outlineLevel="4">
      <c r="A590" s="70" t="s">
        <v>978</v>
      </c>
      <c r="B590" s="139">
        <f t="shared" ref="B590:B606" si="10">922.194*(1.3/71)</f>
        <v>16.885242253521128</v>
      </c>
      <c r="C590" s="148" t="s">
        <v>1251</v>
      </c>
      <c r="D590" s="139">
        <v>1.4072225352112675</v>
      </c>
      <c r="E590" s="144" t="s">
        <v>141</v>
      </c>
    </row>
    <row r="591" spans="1:5" s="15" customFormat="1" ht="32.85" hidden="1" customHeight="1" outlineLevel="4">
      <c r="A591" s="70" t="s">
        <v>979</v>
      </c>
      <c r="B591" s="139">
        <f t="shared" si="10"/>
        <v>16.885242253521128</v>
      </c>
      <c r="C591" s="148" t="s">
        <v>1251</v>
      </c>
      <c r="D591" s="139">
        <v>1.4072225352112675</v>
      </c>
      <c r="E591" s="144" t="s">
        <v>141</v>
      </c>
    </row>
    <row r="592" spans="1:5" s="15" customFormat="1" ht="17.850000000000001" hidden="1" customHeight="1" outlineLevel="4">
      <c r="A592" s="70" t="s">
        <v>980</v>
      </c>
      <c r="B592" s="139">
        <f t="shared" si="10"/>
        <v>16.885242253521128</v>
      </c>
      <c r="C592" s="148" t="s">
        <v>1251</v>
      </c>
      <c r="D592" s="139">
        <v>1.4072225352112675</v>
      </c>
      <c r="E592" s="144" t="s">
        <v>141</v>
      </c>
    </row>
    <row r="593" spans="1:5" s="15" customFormat="1" ht="17.850000000000001" hidden="1" customHeight="1" outlineLevel="4">
      <c r="A593" s="70" t="s">
        <v>981</v>
      </c>
      <c r="B593" s="139">
        <f t="shared" si="10"/>
        <v>16.885242253521128</v>
      </c>
      <c r="C593" s="148" t="s">
        <v>1251</v>
      </c>
      <c r="D593" s="139">
        <v>1.4072225352112675</v>
      </c>
      <c r="E593" s="144" t="s">
        <v>141</v>
      </c>
    </row>
    <row r="594" spans="1:5" s="15" customFormat="1" ht="17.850000000000001" hidden="1" customHeight="1" outlineLevel="4">
      <c r="A594" s="70" t="s">
        <v>982</v>
      </c>
      <c r="B594" s="139">
        <f t="shared" si="10"/>
        <v>16.885242253521128</v>
      </c>
      <c r="C594" s="148" t="s">
        <v>1251</v>
      </c>
      <c r="D594" s="139">
        <v>1.4072225352112675</v>
      </c>
      <c r="E594" s="144" t="s">
        <v>141</v>
      </c>
    </row>
    <row r="595" spans="1:5" s="15" customFormat="1" ht="17.850000000000001" hidden="1" customHeight="1" outlineLevel="4">
      <c r="A595" s="70" t="s">
        <v>983</v>
      </c>
      <c r="B595" s="139">
        <f t="shared" si="10"/>
        <v>16.885242253521128</v>
      </c>
      <c r="C595" s="148" t="s">
        <v>1251</v>
      </c>
      <c r="D595" s="139">
        <v>1.4072225352112675</v>
      </c>
      <c r="E595" s="144" t="s">
        <v>141</v>
      </c>
    </row>
    <row r="596" spans="1:5" s="15" customFormat="1" ht="32.85" hidden="1" customHeight="1" outlineLevel="4">
      <c r="A596" s="70" t="s">
        <v>984</v>
      </c>
      <c r="B596" s="139">
        <f t="shared" si="10"/>
        <v>16.885242253521128</v>
      </c>
      <c r="C596" s="148" t="s">
        <v>1251</v>
      </c>
      <c r="D596" s="139">
        <v>1.4072225352112675</v>
      </c>
      <c r="E596" s="144" t="s">
        <v>141</v>
      </c>
    </row>
    <row r="597" spans="1:5" s="15" customFormat="1" ht="32.85" hidden="1" customHeight="1" outlineLevel="4">
      <c r="A597" s="70" t="s">
        <v>985</v>
      </c>
      <c r="B597" s="139">
        <f t="shared" si="10"/>
        <v>16.885242253521128</v>
      </c>
      <c r="C597" s="148" t="s">
        <v>1251</v>
      </c>
      <c r="D597" s="139">
        <v>1.4072225352112675</v>
      </c>
      <c r="E597" s="144" t="s">
        <v>141</v>
      </c>
    </row>
    <row r="598" spans="1:5" s="15" customFormat="1" ht="32.85" hidden="1" customHeight="1" outlineLevel="4">
      <c r="A598" s="70" t="s">
        <v>986</v>
      </c>
      <c r="B598" s="139">
        <f t="shared" si="10"/>
        <v>16.885242253521128</v>
      </c>
      <c r="C598" s="148" t="s">
        <v>1251</v>
      </c>
      <c r="D598" s="139">
        <v>1.4072225352112675</v>
      </c>
      <c r="E598" s="144" t="s">
        <v>141</v>
      </c>
    </row>
    <row r="599" spans="1:5" s="15" customFormat="1" ht="32.85" hidden="1" customHeight="1" outlineLevel="4">
      <c r="A599" s="70" t="s">
        <v>987</v>
      </c>
      <c r="B599" s="139">
        <f t="shared" si="10"/>
        <v>16.885242253521128</v>
      </c>
      <c r="C599" s="148" t="s">
        <v>1251</v>
      </c>
      <c r="D599" s="139">
        <v>1.4072225352112675</v>
      </c>
      <c r="E599" s="144" t="s">
        <v>141</v>
      </c>
    </row>
    <row r="600" spans="1:5" s="15" customFormat="1" ht="32.85" hidden="1" customHeight="1" outlineLevel="4">
      <c r="A600" s="70" t="s">
        <v>988</v>
      </c>
      <c r="B600" s="139">
        <f t="shared" si="10"/>
        <v>16.885242253521128</v>
      </c>
      <c r="C600" s="148" t="s">
        <v>1251</v>
      </c>
      <c r="D600" s="139">
        <v>1.4072225352112675</v>
      </c>
      <c r="E600" s="144" t="s">
        <v>141</v>
      </c>
    </row>
    <row r="601" spans="1:5" s="15" customFormat="1" ht="32.85" hidden="1" customHeight="1" outlineLevel="4">
      <c r="A601" s="70" t="s">
        <v>989</v>
      </c>
      <c r="B601" s="139">
        <f t="shared" si="10"/>
        <v>16.885242253521128</v>
      </c>
      <c r="C601" s="148" t="s">
        <v>1251</v>
      </c>
      <c r="D601" s="139">
        <v>1.4072225352112675</v>
      </c>
      <c r="E601" s="144" t="s">
        <v>141</v>
      </c>
    </row>
    <row r="602" spans="1:5" s="15" customFormat="1" ht="17.850000000000001" hidden="1" customHeight="1" outlineLevel="4">
      <c r="A602" s="70" t="s">
        <v>990</v>
      </c>
      <c r="B602" s="139">
        <f t="shared" si="10"/>
        <v>16.885242253521128</v>
      </c>
      <c r="C602" s="148" t="s">
        <v>1251</v>
      </c>
      <c r="D602" s="139">
        <v>1.4072225352112675</v>
      </c>
      <c r="E602" s="144" t="s">
        <v>141</v>
      </c>
    </row>
    <row r="603" spans="1:5" s="15" customFormat="1" ht="32.85" hidden="1" customHeight="1" outlineLevel="4">
      <c r="A603" s="70" t="s">
        <v>991</v>
      </c>
      <c r="B603" s="139">
        <f t="shared" si="10"/>
        <v>16.885242253521128</v>
      </c>
      <c r="C603" s="148" t="s">
        <v>1251</v>
      </c>
      <c r="D603" s="139">
        <v>1.4072225352112675</v>
      </c>
      <c r="E603" s="144" t="s">
        <v>141</v>
      </c>
    </row>
    <row r="604" spans="1:5" s="15" customFormat="1" ht="32.85" hidden="1" customHeight="1" outlineLevel="4">
      <c r="A604" s="70" t="s">
        <v>992</v>
      </c>
      <c r="B604" s="139">
        <f t="shared" si="10"/>
        <v>16.885242253521128</v>
      </c>
      <c r="C604" s="148" t="s">
        <v>1251</v>
      </c>
      <c r="D604" s="139">
        <v>1.4072225352112675</v>
      </c>
      <c r="E604" s="144" t="s">
        <v>141</v>
      </c>
    </row>
    <row r="605" spans="1:5" s="15" customFormat="1" ht="32.85" hidden="1" customHeight="1" outlineLevel="4">
      <c r="A605" s="70" t="s">
        <v>993</v>
      </c>
      <c r="B605" s="139">
        <f t="shared" si="10"/>
        <v>16.885242253521128</v>
      </c>
      <c r="C605" s="148" t="s">
        <v>1251</v>
      </c>
      <c r="D605" s="139">
        <v>1.4072225352112675</v>
      </c>
      <c r="E605" s="144" t="s">
        <v>141</v>
      </c>
    </row>
    <row r="606" spans="1:5" s="15" customFormat="1" ht="17.850000000000001" hidden="1" customHeight="1" outlineLevel="4">
      <c r="A606" s="70" t="s">
        <v>994</v>
      </c>
      <c r="B606" s="139">
        <f t="shared" si="10"/>
        <v>16.885242253521128</v>
      </c>
      <c r="C606" s="148" t="s">
        <v>1251</v>
      </c>
      <c r="D606" s="139">
        <v>1.4072225352112675</v>
      </c>
      <c r="E606" s="144" t="s">
        <v>141</v>
      </c>
    </row>
    <row r="607" spans="1:5" s="16" customFormat="1" ht="16.350000000000001" hidden="1" customHeight="1" outlineLevel="3" collapsed="1">
      <c r="A607" s="22" t="s">
        <v>995</v>
      </c>
      <c r="B607" s="21"/>
      <c r="C607" s="21"/>
      <c r="D607" s="21"/>
      <c r="E607" s="141"/>
    </row>
    <row r="608" spans="1:5" s="15" customFormat="1" ht="17.850000000000001" hidden="1" customHeight="1" outlineLevel="4">
      <c r="A608" s="70" t="s">
        <v>996</v>
      </c>
      <c r="B608" s="139">
        <f>1207.713*(1.3/71)</f>
        <v>22.113054929577466</v>
      </c>
      <c r="C608" s="148" t="s">
        <v>1251</v>
      </c>
      <c r="D608" s="139">
        <v>22.113054929577466</v>
      </c>
      <c r="E608" s="144" t="s">
        <v>1251</v>
      </c>
    </row>
    <row r="609" spans="1:5" s="15" customFormat="1" ht="17.850000000000001" hidden="1" customHeight="1" outlineLevel="4">
      <c r="A609" s="70" t="s">
        <v>997</v>
      </c>
      <c r="B609" s="139">
        <f>297.232*(1.3/71)</f>
        <v>5.4422760563380272</v>
      </c>
      <c r="C609" s="148" t="s">
        <v>1250</v>
      </c>
      <c r="D609" s="139">
        <v>5.4422760563380281</v>
      </c>
      <c r="E609" s="144" t="s">
        <v>1250</v>
      </c>
    </row>
    <row r="610" spans="1:5" s="15" customFormat="1" ht="17.850000000000001" hidden="1" customHeight="1" outlineLevel="4">
      <c r="A610" s="70" t="s">
        <v>998</v>
      </c>
      <c r="B610" s="139">
        <f>594.646*(1.3/71)</f>
        <v>10.887884507042255</v>
      </c>
      <c r="C610" s="148" t="s">
        <v>1251</v>
      </c>
      <c r="D610" s="139">
        <v>10.887884507042255</v>
      </c>
      <c r="E610" s="144" t="s">
        <v>1251</v>
      </c>
    </row>
    <row r="611" spans="1:5" s="15" customFormat="1" ht="17.850000000000001" hidden="1" customHeight="1" outlineLevel="4">
      <c r="A611" s="70" t="s">
        <v>999</v>
      </c>
      <c r="B611" s="139">
        <f>1768.637*(1.3/71)</f>
        <v>32.383494366197183</v>
      </c>
      <c r="C611" s="148" t="s">
        <v>1251</v>
      </c>
      <c r="D611" s="139">
        <v>32.383494366197183</v>
      </c>
      <c r="E611" s="144" t="s">
        <v>1251</v>
      </c>
    </row>
    <row r="612" spans="1:5" s="15" customFormat="1" ht="17.850000000000001" hidden="1" customHeight="1" outlineLevel="4">
      <c r="A612" s="70" t="s">
        <v>1000</v>
      </c>
      <c r="B612" s="139">
        <f>1768.637*(1.3/71)</f>
        <v>32.383494366197183</v>
      </c>
      <c r="C612" s="148" t="s">
        <v>1251</v>
      </c>
      <c r="D612" s="139">
        <v>32.383494366197183</v>
      </c>
      <c r="E612" s="144" t="s">
        <v>1251</v>
      </c>
    </row>
    <row r="613" spans="1:5" s="15" customFormat="1" ht="17.850000000000001" hidden="1" customHeight="1" outlineLevel="4">
      <c r="A613" s="70" t="s">
        <v>1001</v>
      </c>
      <c r="B613" s="139">
        <f>1768.637*(1.3/71)</f>
        <v>32.383494366197183</v>
      </c>
      <c r="C613" s="148" t="s">
        <v>1251</v>
      </c>
      <c r="D613" s="139">
        <v>32.383494366197183</v>
      </c>
      <c r="E613" s="144" t="s">
        <v>1251</v>
      </c>
    </row>
    <row r="614" spans="1:5" s="15" customFormat="1" ht="17.850000000000001" hidden="1" customHeight="1" outlineLevel="4">
      <c r="A614" s="70" t="s">
        <v>1002</v>
      </c>
      <c r="B614" s="139">
        <f>1088.724*(1.3/71)</f>
        <v>19.934383098591553</v>
      </c>
      <c r="C614" s="148" t="s">
        <v>1251</v>
      </c>
      <c r="D614" s="139">
        <v>19.934383098591553</v>
      </c>
      <c r="E614" s="144" t="s">
        <v>1251</v>
      </c>
    </row>
    <row r="615" spans="1:5" s="15" customFormat="1" ht="17.850000000000001" hidden="1" customHeight="1" outlineLevel="4">
      <c r="A615" s="70" t="s">
        <v>1003</v>
      </c>
      <c r="B615" s="139">
        <f>2194.816*(1.3/71)</f>
        <v>40.186771830985911</v>
      </c>
      <c r="C615" s="148" t="s">
        <v>1251</v>
      </c>
      <c r="D615" s="139">
        <v>40.186771830985919</v>
      </c>
      <c r="E615" s="144" t="s">
        <v>1251</v>
      </c>
    </row>
    <row r="616" spans="1:5" s="15" customFormat="1" ht="17.850000000000001" hidden="1" customHeight="1" outlineLevel="4">
      <c r="A616" s="70" t="s">
        <v>1004</v>
      </c>
      <c r="B616" s="139">
        <f>2194.816*(1.3/71)</f>
        <v>40.186771830985911</v>
      </c>
      <c r="C616" s="148" t="s">
        <v>1251</v>
      </c>
      <c r="D616" s="139">
        <v>40.186771830985919</v>
      </c>
      <c r="E616" s="144" t="s">
        <v>1251</v>
      </c>
    </row>
    <row r="617" spans="1:5" s="15" customFormat="1" ht="17.850000000000001" hidden="1" customHeight="1" outlineLevel="4">
      <c r="A617" s="70" t="s">
        <v>1005</v>
      </c>
      <c r="B617" s="139">
        <f>1908.387*(1.3/71)</f>
        <v>34.942297183098596</v>
      </c>
      <c r="C617" s="148" t="s">
        <v>1251</v>
      </c>
      <c r="D617" s="139">
        <v>34.942297183098596</v>
      </c>
      <c r="E617" s="144" t="s">
        <v>1251</v>
      </c>
    </row>
    <row r="618" spans="1:5" s="15" customFormat="1" ht="17.850000000000001" hidden="1" customHeight="1" outlineLevel="4">
      <c r="A618" s="70" t="s">
        <v>1006</v>
      </c>
      <c r="B618" s="139">
        <f>1908.387*(1.3/71)</f>
        <v>34.942297183098596</v>
      </c>
      <c r="C618" s="148" t="s">
        <v>1251</v>
      </c>
      <c r="D618" s="139">
        <v>34.942297183098596</v>
      </c>
      <c r="E618" s="144" t="s">
        <v>1251</v>
      </c>
    </row>
    <row r="619" spans="1:5" s="15" customFormat="1" ht="17.850000000000001" hidden="1" customHeight="1" outlineLevel="4">
      <c r="A619" s="70" t="s">
        <v>1007</v>
      </c>
      <c r="B619" s="139">
        <f>1908.387*(1.3/71)</f>
        <v>34.942297183098596</v>
      </c>
      <c r="C619" s="148" t="s">
        <v>1251</v>
      </c>
      <c r="D619" s="139">
        <v>34.942297183098596</v>
      </c>
      <c r="E619" s="144" t="s">
        <v>1251</v>
      </c>
    </row>
    <row r="620" spans="1:5" s="15" customFormat="1" ht="17.850000000000001" hidden="1" customHeight="1" outlineLevel="4">
      <c r="A620" s="70" t="s">
        <v>1008</v>
      </c>
      <c r="B620" s="139">
        <f>2163.603*(1.3/71)</f>
        <v>39.615266197183097</v>
      </c>
      <c r="C620" s="148" t="s">
        <v>1251</v>
      </c>
      <c r="D620" s="139">
        <v>2.475969014084507</v>
      </c>
      <c r="E620" s="144" t="s">
        <v>141</v>
      </c>
    </row>
    <row r="621" spans="1:5" s="15" customFormat="1" ht="17.850000000000001" hidden="1" customHeight="1" outlineLevel="4">
      <c r="A621" s="70" t="s">
        <v>1009</v>
      </c>
      <c r="B621" s="139">
        <f>811.278*(1.3/71)</f>
        <v>14.854385915492957</v>
      </c>
      <c r="C621" s="148" t="s">
        <v>1251</v>
      </c>
      <c r="D621" s="139">
        <v>1.2379845070422535</v>
      </c>
      <c r="E621" s="144" t="s">
        <v>141</v>
      </c>
    </row>
    <row r="622" spans="1:5" s="15" customFormat="1" ht="17.850000000000001" hidden="1" customHeight="1" outlineLevel="4">
      <c r="A622" s="70" t="s">
        <v>1010</v>
      </c>
      <c r="B622" s="139">
        <f>4990.193*(1.3/71)</f>
        <v>91.369730985915496</v>
      </c>
      <c r="C622" s="148" t="s">
        <v>1251</v>
      </c>
      <c r="D622" s="139">
        <v>11.421305633802817</v>
      </c>
      <c r="E622" s="144" t="s">
        <v>1250</v>
      </c>
    </row>
    <row r="623" spans="1:5" s="15" customFormat="1" ht="17.850000000000001" hidden="1" customHeight="1" outlineLevel="4">
      <c r="A623" s="70" t="s">
        <v>1011</v>
      </c>
      <c r="B623" s="139">
        <f>3024.06*(1.3/71)</f>
        <v>55.370112676056337</v>
      </c>
      <c r="C623" s="148" t="s">
        <v>1251</v>
      </c>
      <c r="D623" s="139">
        <v>1.3843718309859157</v>
      </c>
      <c r="E623" s="144" t="s">
        <v>141</v>
      </c>
    </row>
    <row r="624" spans="1:5" s="15" customFormat="1" ht="17.850000000000001" hidden="1" customHeight="1" outlineLevel="4">
      <c r="A624" s="70" t="s">
        <v>1012</v>
      </c>
      <c r="B624" s="139">
        <f>6191.419*(1.3/71)</f>
        <v>113.36400985915495</v>
      </c>
      <c r="C624" s="148" t="s">
        <v>1251</v>
      </c>
      <c r="D624" s="139">
        <v>0.70860985915492958</v>
      </c>
      <c r="E624" s="144" t="s">
        <v>141</v>
      </c>
    </row>
    <row r="625" spans="1:5" s="15" customFormat="1" ht="17.850000000000001" hidden="1" customHeight="1" outlineLevel="4">
      <c r="A625" s="70" t="s">
        <v>1013</v>
      </c>
      <c r="B625" s="139">
        <f>1065.012*(1.3/71)</f>
        <v>19.500219718309857</v>
      </c>
      <c r="C625" s="148" t="s">
        <v>1251</v>
      </c>
      <c r="D625" s="139">
        <v>2.4376464788732397</v>
      </c>
      <c r="E625" s="144" t="s">
        <v>141</v>
      </c>
    </row>
    <row r="626" spans="1:5" s="15" customFormat="1" ht="17.850000000000001" hidden="1" customHeight="1" outlineLevel="4">
      <c r="A626" s="70" t="s">
        <v>1014</v>
      </c>
      <c r="B626" s="139">
        <f>3489.122*(1.3/71)</f>
        <v>63.885332394366202</v>
      </c>
      <c r="C626" s="148" t="s">
        <v>1251</v>
      </c>
      <c r="D626" s="139">
        <v>4.2590380281690141</v>
      </c>
      <c r="E626" s="144" t="s">
        <v>141</v>
      </c>
    </row>
    <row r="627" spans="1:5" s="15" customFormat="1" ht="17.850000000000001" hidden="1" customHeight="1" outlineLevel="4">
      <c r="A627" s="70" t="s">
        <v>1015</v>
      </c>
      <c r="B627" s="139">
        <f>2259.764*(1.3/71)</f>
        <v>41.375960563380282</v>
      </c>
      <c r="C627" s="148" t="s">
        <v>1251</v>
      </c>
      <c r="D627" s="139">
        <v>6.8959140845070417</v>
      </c>
      <c r="E627" s="144" t="s">
        <v>141</v>
      </c>
    </row>
    <row r="628" spans="1:5" s="15" customFormat="1" ht="17.850000000000001" hidden="1" customHeight="1" outlineLevel="4">
      <c r="A628" s="70" t="s">
        <v>1016</v>
      </c>
      <c r="B628" s="139">
        <f>1441.44*(1.3/71)</f>
        <v>26.39256338028169</v>
      </c>
      <c r="C628" s="148" t="s">
        <v>1251</v>
      </c>
      <c r="D628" s="139">
        <v>4.3987605633802822</v>
      </c>
      <c r="E628" s="144" t="s">
        <v>141</v>
      </c>
    </row>
    <row r="629" spans="1:5" s="15" customFormat="1" ht="17.850000000000001" hidden="1" customHeight="1" outlineLevel="4">
      <c r="A629" s="70" t="s">
        <v>1017</v>
      </c>
      <c r="B629" s="139">
        <f>2398.5*(1.3/71)</f>
        <v>43.916197183098589</v>
      </c>
      <c r="C629" s="148" t="s">
        <v>1251</v>
      </c>
      <c r="D629" s="139">
        <v>7.3193661971830997</v>
      </c>
      <c r="E629" s="144" t="s">
        <v>141</v>
      </c>
    </row>
    <row r="630" spans="1:5" s="15" customFormat="1" ht="17.850000000000001" hidden="1" customHeight="1" outlineLevel="4">
      <c r="A630" s="70" t="s">
        <v>1018</v>
      </c>
      <c r="B630" s="139">
        <f>2572.271*(1.3/71)</f>
        <v>47.097919718309861</v>
      </c>
      <c r="C630" s="148" t="s">
        <v>1251</v>
      </c>
      <c r="D630" s="139">
        <v>7.8496929577464796</v>
      </c>
      <c r="E630" s="144" t="s">
        <v>141</v>
      </c>
    </row>
    <row r="631" spans="1:5" s="15" customFormat="1" ht="17.850000000000001" hidden="1" customHeight="1" outlineLevel="4">
      <c r="A631" s="70" t="s">
        <v>1019</v>
      </c>
      <c r="B631" s="139">
        <f>6162.117*(1.3/71)</f>
        <v>112.82749436619719</v>
      </c>
      <c r="C631" s="148" t="s">
        <v>1251</v>
      </c>
      <c r="D631" s="139">
        <v>14.103407042253522</v>
      </c>
      <c r="E631" s="144" t="s">
        <v>141</v>
      </c>
    </row>
    <row r="632" spans="1:5" s="15" customFormat="1" ht="17.850000000000001" hidden="1" customHeight="1" outlineLevel="4">
      <c r="A632" s="70" t="s">
        <v>1020</v>
      </c>
      <c r="B632" s="139">
        <f>3930.771*(1.3/71)</f>
        <v>71.97186338028169</v>
      </c>
      <c r="C632" s="148" t="s">
        <v>1251</v>
      </c>
      <c r="D632" s="139">
        <v>17.993025352112678</v>
      </c>
      <c r="E632" s="144" t="s">
        <v>1250</v>
      </c>
    </row>
    <row r="633" spans="1:5" s="15" customFormat="1" ht="17.850000000000001" hidden="1" customHeight="1" outlineLevel="4">
      <c r="A633" s="70" t="s">
        <v>1021</v>
      </c>
      <c r="B633" s="139">
        <f>1594.437*(1.3/71)</f>
        <v>29.193916901408453</v>
      </c>
      <c r="C633" s="148" t="s">
        <v>1251</v>
      </c>
      <c r="D633" s="139">
        <v>2.4328859154929576</v>
      </c>
      <c r="E633" s="144" t="s">
        <v>141</v>
      </c>
    </row>
    <row r="634" spans="1:5" s="15" customFormat="1" ht="17.850000000000001" hidden="1" customHeight="1" outlineLevel="4">
      <c r="A634" s="70" t="s">
        <v>1022</v>
      </c>
      <c r="B634" s="139">
        <f>2207.712*(1.3/71)</f>
        <v>40.422895774647884</v>
      </c>
      <c r="C634" s="148" t="s">
        <v>1251</v>
      </c>
      <c r="D634" s="139">
        <v>3.3685746478873244</v>
      </c>
      <c r="E634" s="144" t="s">
        <v>141</v>
      </c>
    </row>
    <row r="635" spans="1:5" s="15" customFormat="1" ht="17.850000000000001" hidden="1" customHeight="1" outlineLevel="4">
      <c r="A635" s="70" t="s">
        <v>1023</v>
      </c>
      <c r="B635" s="139">
        <f>1660.698*(1.3/71)</f>
        <v>30.407146478873241</v>
      </c>
      <c r="C635" s="148" t="s">
        <v>1251</v>
      </c>
      <c r="D635" s="139">
        <v>5.0678577464788734</v>
      </c>
      <c r="E635" s="144" t="s">
        <v>141</v>
      </c>
    </row>
    <row r="636" spans="1:5" s="15" customFormat="1" ht="17.850000000000001" hidden="1" customHeight="1" outlineLevel="4">
      <c r="A636" s="70" t="s">
        <v>1024</v>
      </c>
      <c r="B636" s="139">
        <f>1838.291*(1.3/71)</f>
        <v>33.658849295774644</v>
      </c>
      <c r="C636" s="148" t="s">
        <v>1251</v>
      </c>
      <c r="D636" s="139">
        <v>8.4147718309859147</v>
      </c>
      <c r="E636" s="144" t="s">
        <v>141</v>
      </c>
    </row>
    <row r="637" spans="1:5" s="15" customFormat="1" ht="17.850000000000001" hidden="1" customHeight="1" outlineLevel="4">
      <c r="A637" s="70" t="s">
        <v>1025</v>
      </c>
      <c r="B637" s="139">
        <f>2343.406*(1.3/71)</f>
        <v>42.907433802816897</v>
      </c>
      <c r="C637" s="148" t="s">
        <v>1251</v>
      </c>
      <c r="D637" s="139">
        <v>21.453716901408452</v>
      </c>
      <c r="E637" s="144" t="s">
        <v>141</v>
      </c>
    </row>
    <row r="638" spans="1:5" s="15" customFormat="1" ht="17.850000000000001" hidden="1" customHeight="1" outlineLevel="4">
      <c r="A638" s="70" t="s">
        <v>1026</v>
      </c>
      <c r="B638" s="139">
        <f>1385.605*(1.3/71)</f>
        <v>25.370232394366198</v>
      </c>
      <c r="C638" s="148" t="s">
        <v>1251</v>
      </c>
      <c r="D638" s="139">
        <v>4.2283323943661966</v>
      </c>
      <c r="E638" s="144" t="s">
        <v>141</v>
      </c>
    </row>
    <row r="639" spans="1:5" s="15" customFormat="1" ht="17.850000000000001" hidden="1" customHeight="1" outlineLevel="4">
      <c r="A639" s="70" t="s">
        <v>1027</v>
      </c>
      <c r="B639" s="139">
        <f>7412.535*(1.3/71)</f>
        <v>135.72247183098591</v>
      </c>
      <c r="C639" s="148" t="s">
        <v>1251</v>
      </c>
      <c r="D639" s="139">
        <v>6.7861830985915503</v>
      </c>
      <c r="E639" s="144" t="s">
        <v>141</v>
      </c>
    </row>
    <row r="640" spans="1:5" s="15" customFormat="1" ht="17.850000000000001" hidden="1" customHeight="1" outlineLevel="4">
      <c r="A640" s="70" t="s">
        <v>1028</v>
      </c>
      <c r="B640" s="139">
        <f>2640.443*(1.3/71)</f>
        <v>48.346139436619715</v>
      </c>
      <c r="C640" s="148" t="s">
        <v>1251</v>
      </c>
      <c r="D640" s="139">
        <v>16.115459154929578</v>
      </c>
      <c r="E640" s="144" t="s">
        <v>141</v>
      </c>
    </row>
    <row r="641" spans="1:5" s="15" customFormat="1" ht="17.850000000000001" hidden="1" customHeight="1" outlineLevel="4">
      <c r="A641" s="70" t="s">
        <v>1029</v>
      </c>
      <c r="B641" s="139">
        <f>2690.519*(1.3/71)</f>
        <v>49.263023943661977</v>
      </c>
      <c r="C641" s="148" t="s">
        <v>1251</v>
      </c>
      <c r="D641" s="139">
        <v>12.315815492957746</v>
      </c>
      <c r="E641" s="144" t="s">
        <v>141</v>
      </c>
    </row>
    <row r="642" spans="1:5" s="15" customFormat="1" ht="17.850000000000001" hidden="1" customHeight="1" outlineLevel="4">
      <c r="A642" s="70" t="s">
        <v>1030</v>
      </c>
      <c r="B642" s="139">
        <f>2231.931*(1.3/71)</f>
        <v>40.866342253521125</v>
      </c>
      <c r="C642" s="148" t="s">
        <v>1251</v>
      </c>
      <c r="D642" s="139">
        <v>6.8111760563380281</v>
      </c>
      <c r="E642" s="144" t="s">
        <v>141</v>
      </c>
    </row>
    <row r="643" spans="1:5" s="15" customFormat="1" ht="17.850000000000001" hidden="1" customHeight="1" outlineLevel="4">
      <c r="A643" s="70" t="s">
        <v>1031</v>
      </c>
      <c r="B643" s="139">
        <f>3008.304*(1.3/71)</f>
        <v>55.081622535211267</v>
      </c>
      <c r="C643" s="148" t="s">
        <v>1251</v>
      </c>
      <c r="D643" s="139">
        <v>13.770405633802817</v>
      </c>
      <c r="E643" s="144" t="s">
        <v>141</v>
      </c>
    </row>
    <row r="644" spans="1:5" s="15" customFormat="1" ht="17.850000000000001" hidden="1" customHeight="1" outlineLevel="4">
      <c r="A644" s="70" t="s">
        <v>1032</v>
      </c>
      <c r="B644" s="139">
        <f>5671.133*(1.3/71)</f>
        <v>103.83764647887324</v>
      </c>
      <c r="C644" s="148" t="s">
        <v>1251</v>
      </c>
      <c r="D644" s="139">
        <v>17.306314084507044</v>
      </c>
      <c r="E644" s="144" t="s">
        <v>141</v>
      </c>
    </row>
    <row r="645" spans="1:5" s="15" customFormat="1" ht="17.850000000000001" hidden="1" customHeight="1" outlineLevel="4">
      <c r="A645" s="70" t="s">
        <v>1033</v>
      </c>
      <c r="B645" s="139">
        <f>2496.715*(1.3/71)</f>
        <v>45.714500000000001</v>
      </c>
      <c r="C645" s="148" t="s">
        <v>1251</v>
      </c>
      <c r="D645" s="139">
        <v>11.428684507042254</v>
      </c>
      <c r="E645" s="144" t="s">
        <v>141</v>
      </c>
    </row>
    <row r="646" spans="1:5" s="15" customFormat="1" ht="17.850000000000001" hidden="1" customHeight="1" outlineLevel="4">
      <c r="A646" s="70" t="s">
        <v>1034</v>
      </c>
      <c r="B646" s="139">
        <f>2726.737*(1.3/71)</f>
        <v>49.926170422535208</v>
      </c>
      <c r="C646" s="148" t="s">
        <v>1251</v>
      </c>
      <c r="D646" s="139">
        <v>12.48148309859155</v>
      </c>
      <c r="E646" s="144" t="s">
        <v>141</v>
      </c>
    </row>
    <row r="647" spans="1:5" s="15" customFormat="1" ht="17.850000000000001" hidden="1" customHeight="1" outlineLevel="4">
      <c r="A647" s="70" t="s">
        <v>1035</v>
      </c>
      <c r="B647" s="139">
        <f>811.681*(1.3/71)</f>
        <v>14.861764788732396</v>
      </c>
      <c r="C647" s="148" t="s">
        <v>1250</v>
      </c>
      <c r="D647" s="139">
        <v>14.861764788732396</v>
      </c>
      <c r="E647" s="144" t="s">
        <v>1250</v>
      </c>
    </row>
    <row r="648" spans="1:5" s="15" customFormat="1" ht="17.850000000000001" hidden="1" customHeight="1" outlineLevel="4">
      <c r="A648" s="70" t="s">
        <v>1036</v>
      </c>
      <c r="B648" s="139">
        <f>811.681*(1.3/71)</f>
        <v>14.861764788732396</v>
      </c>
      <c r="C648" s="148" t="s">
        <v>1250</v>
      </c>
      <c r="D648" s="139">
        <v>14.861764788732396</v>
      </c>
      <c r="E648" s="144" t="s">
        <v>1250</v>
      </c>
    </row>
    <row r="649" spans="1:5" s="15" customFormat="1" ht="17.850000000000001" hidden="1" customHeight="1" outlineLevel="4">
      <c r="A649" s="70" t="s">
        <v>1037</v>
      </c>
      <c r="B649" s="139">
        <f>811.681*(1.3/71)</f>
        <v>14.861764788732396</v>
      </c>
      <c r="C649" s="148" t="s">
        <v>1250</v>
      </c>
      <c r="D649" s="139">
        <v>14.861764788732396</v>
      </c>
      <c r="E649" s="144" t="s">
        <v>1250</v>
      </c>
    </row>
    <row r="650" spans="1:5" s="15" customFormat="1" ht="17.850000000000001" hidden="1" customHeight="1" outlineLevel="4">
      <c r="A650" s="70" t="s">
        <v>1038</v>
      </c>
      <c r="B650" s="139">
        <f>811.681*(1.3/71)</f>
        <v>14.861764788732396</v>
      </c>
      <c r="C650" s="148" t="s">
        <v>1250</v>
      </c>
      <c r="D650" s="139">
        <v>14.861764788732396</v>
      </c>
      <c r="E650" s="144" t="s">
        <v>1250</v>
      </c>
    </row>
    <row r="651" spans="1:5" s="15" customFormat="1" ht="17.850000000000001" hidden="1" customHeight="1" outlineLevel="4">
      <c r="A651" s="70" t="s">
        <v>1039</v>
      </c>
      <c r="B651" s="139">
        <f>811.681*(1.3/71)</f>
        <v>14.861764788732396</v>
      </c>
      <c r="C651" s="148" t="s">
        <v>1250</v>
      </c>
      <c r="D651" s="139">
        <v>14.861764788732396</v>
      </c>
      <c r="E651" s="144" t="s">
        <v>1250</v>
      </c>
    </row>
    <row r="652" spans="1:5" s="16" customFormat="1" ht="16.350000000000001" hidden="1" customHeight="1" outlineLevel="3" collapsed="1">
      <c r="A652" s="22" t="s">
        <v>1040</v>
      </c>
      <c r="B652" s="21"/>
      <c r="C652" s="21"/>
      <c r="D652" s="21"/>
      <c r="E652" s="141"/>
    </row>
    <row r="653" spans="1:5" s="15" customFormat="1" ht="17.850000000000001" hidden="1" customHeight="1" outlineLevel="4">
      <c r="A653" s="70" t="s">
        <v>1041</v>
      </c>
      <c r="B653" s="139">
        <f>3447.08*(1.3/71)</f>
        <v>63.115549295774649</v>
      </c>
      <c r="C653" s="148" t="s">
        <v>1251</v>
      </c>
      <c r="D653" s="139">
        <v>6.3115549295774658</v>
      </c>
      <c r="E653" s="144" t="s">
        <v>141</v>
      </c>
    </row>
    <row r="654" spans="1:5" s="15" customFormat="1" ht="17.850000000000001" hidden="1" customHeight="1" outlineLevel="4">
      <c r="A654" s="70" t="s">
        <v>1042</v>
      </c>
      <c r="B654" s="139">
        <f>4548.96*(1.3/71)</f>
        <v>83.290816901408448</v>
      </c>
      <c r="C654" s="148" t="s">
        <v>1251</v>
      </c>
      <c r="D654" s="139">
        <v>6.9409014084507055</v>
      </c>
      <c r="E654" s="144" t="s">
        <v>141</v>
      </c>
    </row>
    <row r="655" spans="1:5" s="15" customFormat="1" ht="17.850000000000001" hidden="1" customHeight="1" outlineLevel="4">
      <c r="A655" s="70" t="s">
        <v>1043</v>
      </c>
      <c r="B655" s="139">
        <f>4742.4*(1.3/71)</f>
        <v>86.832676056338045</v>
      </c>
      <c r="C655" s="148" t="s">
        <v>1251</v>
      </c>
      <c r="D655" s="139">
        <v>3.6180281690140843</v>
      </c>
      <c r="E655" s="144" t="s">
        <v>141</v>
      </c>
    </row>
    <row r="656" spans="1:5" s="15" customFormat="1" ht="17.850000000000001" hidden="1" customHeight="1" outlineLevel="4">
      <c r="A656" s="70" t="s">
        <v>1044</v>
      </c>
      <c r="B656" s="139">
        <f>3508.596*(1.3/71)</f>
        <v>64.241898591549301</v>
      </c>
      <c r="C656" s="148" t="s">
        <v>1251</v>
      </c>
      <c r="D656" s="139">
        <v>64.241898591549287</v>
      </c>
      <c r="E656" s="144" t="s">
        <v>1251</v>
      </c>
    </row>
    <row r="657" spans="1:5" s="15" customFormat="1" ht="17.850000000000001" hidden="1" customHeight="1" outlineLevel="4">
      <c r="A657" s="70" t="s">
        <v>1045</v>
      </c>
      <c r="B657" s="139">
        <f>2774.2*(1.3/71)</f>
        <v>50.795211267605637</v>
      </c>
      <c r="C657" s="148" t="s">
        <v>1251</v>
      </c>
      <c r="D657" s="139">
        <v>50.795211267605637</v>
      </c>
      <c r="E657" s="144" t="s">
        <v>1251</v>
      </c>
    </row>
    <row r="658" spans="1:5" s="15" customFormat="1" ht="17.850000000000001" hidden="1" customHeight="1" outlineLevel="4">
      <c r="A658" s="70" t="s">
        <v>1046</v>
      </c>
      <c r="B658" s="139">
        <f>2091.7*(1.3/71)</f>
        <v>38.298732394366205</v>
      </c>
      <c r="C658" s="148" t="s">
        <v>1251</v>
      </c>
      <c r="D658" s="139">
        <v>6.3832014084507058</v>
      </c>
      <c r="E658" s="144" t="s">
        <v>141</v>
      </c>
    </row>
    <row r="659" spans="1:5" s="15" customFormat="1" ht="17.850000000000001" hidden="1" customHeight="1" outlineLevel="4">
      <c r="A659" s="70" t="s">
        <v>1047</v>
      </c>
      <c r="B659" s="139">
        <f>3991*(1.3/71)</f>
        <v>73.074647887323948</v>
      </c>
      <c r="C659" s="148" t="s">
        <v>1251</v>
      </c>
      <c r="D659" s="139">
        <v>73.074647887323948</v>
      </c>
      <c r="E659" s="144" t="s">
        <v>1251</v>
      </c>
    </row>
    <row r="660" spans="1:5" s="16" customFormat="1" ht="16.350000000000001" hidden="1" customHeight="1" outlineLevel="3" collapsed="1">
      <c r="A660" s="22" t="s">
        <v>1048</v>
      </c>
      <c r="B660" s="21"/>
      <c r="C660" s="21"/>
      <c r="D660" s="21"/>
      <c r="E660" s="141"/>
    </row>
    <row r="661" spans="1:5" s="15" customFormat="1" ht="32.85" hidden="1" customHeight="1" outlineLevel="4">
      <c r="A661" s="70" t="s">
        <v>1049</v>
      </c>
      <c r="B661" s="139">
        <f>3831.165*(1.3/71)</f>
        <v>70.148091549295785</v>
      </c>
      <c r="C661" s="148" t="s">
        <v>1251</v>
      </c>
      <c r="D661" s="139">
        <v>3.8972352112676054</v>
      </c>
      <c r="E661" s="144" t="s">
        <v>141</v>
      </c>
    </row>
    <row r="662" spans="1:5" s="15" customFormat="1" ht="32.85" hidden="1" customHeight="1" outlineLevel="4">
      <c r="A662" s="70" t="s">
        <v>1050</v>
      </c>
      <c r="B662" s="139">
        <f>4883.463*(1.3/71)</f>
        <v>89.415519718309866</v>
      </c>
      <c r="C662" s="148" t="s">
        <v>1251</v>
      </c>
      <c r="D662" s="139">
        <v>7.451233802816903</v>
      </c>
      <c r="E662" s="144" t="s">
        <v>141</v>
      </c>
    </row>
    <row r="663" spans="1:5" s="15" customFormat="1" ht="32.85" hidden="1" customHeight="1" outlineLevel="4">
      <c r="A663" s="70" t="s">
        <v>1051</v>
      </c>
      <c r="B663" s="139">
        <f>3494.023*(1.3/71)</f>
        <v>63.975069014084511</v>
      </c>
      <c r="C663" s="148" t="s">
        <v>1251</v>
      </c>
      <c r="D663" s="139">
        <v>3.55423661971831</v>
      </c>
      <c r="E663" s="144" t="s">
        <v>141</v>
      </c>
    </row>
    <row r="664" spans="1:5" s="15" customFormat="1" ht="32.85" hidden="1" customHeight="1" outlineLevel="4">
      <c r="A664" s="70" t="s">
        <v>1052</v>
      </c>
      <c r="B664" s="139">
        <f>4474.795*(1.3/71)</f>
        <v>81.932866197183102</v>
      </c>
      <c r="C664" s="148" t="s">
        <v>1251</v>
      </c>
      <c r="D664" s="139">
        <v>6.8278380281690145</v>
      </c>
      <c r="E664" s="144" t="s">
        <v>141</v>
      </c>
    </row>
    <row r="665" spans="1:5" s="15" customFormat="1" ht="32.85" hidden="1" customHeight="1" outlineLevel="4">
      <c r="A665" s="70" t="s">
        <v>1053</v>
      </c>
      <c r="B665" s="139">
        <f>3187.535*(1.3/71)</f>
        <v>58.363316901408446</v>
      </c>
      <c r="C665" s="148" t="s">
        <v>1251</v>
      </c>
      <c r="D665" s="139">
        <v>3.2424197183098591</v>
      </c>
      <c r="E665" s="144" t="s">
        <v>141</v>
      </c>
    </row>
    <row r="666" spans="1:5" s="15" customFormat="1" ht="32.85" hidden="1" customHeight="1" outlineLevel="4">
      <c r="A666" s="70" t="s">
        <v>1054</v>
      </c>
      <c r="B666" s="139">
        <f>4066.14*(1.3/71)</f>
        <v>74.450450704225361</v>
      </c>
      <c r="C666" s="148" t="s">
        <v>1251</v>
      </c>
      <c r="D666" s="139">
        <v>6.2042042253521128</v>
      </c>
      <c r="E666" s="144" t="s">
        <v>141</v>
      </c>
    </row>
    <row r="667" spans="1:5" s="16" customFormat="1" ht="16.350000000000001" hidden="1" customHeight="1" outlineLevel="3" collapsed="1">
      <c r="A667" s="22" t="s">
        <v>1055</v>
      </c>
      <c r="B667" s="21"/>
      <c r="C667" s="21"/>
      <c r="D667" s="21"/>
      <c r="E667" s="141"/>
    </row>
    <row r="668" spans="1:5" s="15" customFormat="1" ht="17.850000000000001" hidden="1" customHeight="1" outlineLevel="4">
      <c r="A668" s="71" t="s">
        <v>1056</v>
      </c>
      <c r="B668" s="140">
        <f>725.751*(1.3/71)</f>
        <v>13.288398591549296</v>
      </c>
      <c r="C668" s="149" t="s">
        <v>1250</v>
      </c>
      <c r="D668" s="140">
        <v>13.288398591549296</v>
      </c>
      <c r="E668" s="145" t="s">
        <v>1250</v>
      </c>
    </row>
    <row r="669" spans="1:5" s="15" customFormat="1" ht="17.850000000000001" hidden="1" customHeight="1" outlineLevel="4">
      <c r="A669" s="71" t="s">
        <v>1057</v>
      </c>
      <c r="B669" s="140">
        <f>2632.929*(1.3/71)</f>
        <v>48.208559154929581</v>
      </c>
      <c r="C669" s="149" t="s">
        <v>1251</v>
      </c>
      <c r="D669" s="140">
        <v>4.8207845070422533</v>
      </c>
      <c r="E669" s="145" t="s">
        <v>141</v>
      </c>
    </row>
    <row r="670" spans="1:5" s="15" customFormat="1" ht="17.850000000000001" hidden="1" customHeight="1" outlineLevel="4">
      <c r="A670" s="71" t="s">
        <v>1058</v>
      </c>
      <c r="B670" s="140">
        <f>4045.301*(1.3/71)</f>
        <v>74.06889154929577</v>
      </c>
      <c r="C670" s="149" t="s">
        <v>1251</v>
      </c>
      <c r="D670" s="140">
        <v>9.2585816901408453</v>
      </c>
      <c r="E670" s="145" t="s">
        <v>141</v>
      </c>
    </row>
    <row r="671" spans="1:5" s="15" customFormat="1" ht="17.850000000000001" hidden="1" customHeight="1" outlineLevel="4">
      <c r="A671" s="71" t="s">
        <v>1059</v>
      </c>
      <c r="B671" s="140">
        <f>5256.238*(1.3/71)</f>
        <v>96.240977464788742</v>
      </c>
      <c r="C671" s="149" t="s">
        <v>1251</v>
      </c>
      <c r="D671" s="140">
        <v>16.040242253521125</v>
      </c>
      <c r="E671" s="145" t="s">
        <v>141</v>
      </c>
    </row>
    <row r="672" spans="1:5" s="15" customFormat="1" ht="17.850000000000001" hidden="1" customHeight="1" outlineLevel="4">
      <c r="A672" s="71" t="s">
        <v>1060</v>
      </c>
      <c r="B672" s="140">
        <f>1753.219*(1.3/71)</f>
        <v>32.101192957746484</v>
      </c>
      <c r="C672" s="149" t="s">
        <v>1250</v>
      </c>
      <c r="D672" s="140">
        <v>2.1401112676056337</v>
      </c>
      <c r="E672" s="145" t="s">
        <v>141</v>
      </c>
    </row>
    <row r="673" spans="1:5" s="15" customFormat="1" ht="17.850000000000001" hidden="1" customHeight="1" outlineLevel="4">
      <c r="A673" s="71" t="s">
        <v>1061</v>
      </c>
      <c r="B673" s="140">
        <f>1753.219*(1.3/71)</f>
        <v>32.101192957746484</v>
      </c>
      <c r="C673" s="149" t="s">
        <v>1250</v>
      </c>
      <c r="D673" s="140">
        <v>2.1401112676056337</v>
      </c>
      <c r="E673" s="145" t="s">
        <v>141</v>
      </c>
    </row>
    <row r="674" spans="1:5" s="15" customFormat="1" ht="32.85" hidden="1" customHeight="1" outlineLevel="4">
      <c r="A674" s="71" t="s">
        <v>1062</v>
      </c>
      <c r="B674" s="140">
        <f>1753.219*(1.3/71)</f>
        <v>32.101192957746484</v>
      </c>
      <c r="C674" s="149" t="s">
        <v>1250</v>
      </c>
      <c r="D674" s="140">
        <v>2.1401112676056337</v>
      </c>
      <c r="E674" s="145" t="s">
        <v>141</v>
      </c>
    </row>
    <row r="675" spans="1:5" s="15" customFormat="1" ht="17.850000000000001" hidden="1" customHeight="1" outlineLevel="4">
      <c r="A675" s="71" t="s">
        <v>1063</v>
      </c>
      <c r="B675" s="140">
        <f>1753.219*(1.3/71)</f>
        <v>32.101192957746484</v>
      </c>
      <c r="C675" s="149" t="s">
        <v>1250</v>
      </c>
      <c r="D675" s="140">
        <v>2.1401112676056337</v>
      </c>
      <c r="E675" s="145" t="s">
        <v>141</v>
      </c>
    </row>
    <row r="676" spans="1:5" s="16" customFormat="1" ht="16.350000000000001" customHeight="1" outlineLevel="2" collapsed="1">
      <c r="A676" s="20" t="s">
        <v>1064</v>
      </c>
      <c r="B676" s="21"/>
      <c r="C676" s="21"/>
      <c r="D676" s="21"/>
      <c r="E676" s="141"/>
    </row>
    <row r="677" spans="1:5" s="16" customFormat="1" ht="16.350000000000001" hidden="1" customHeight="1" outlineLevel="3" collapsed="1">
      <c r="A677" s="22" t="s">
        <v>1065</v>
      </c>
      <c r="B677" s="21"/>
      <c r="C677" s="21"/>
      <c r="D677" s="21"/>
      <c r="E677" s="141"/>
    </row>
    <row r="678" spans="1:5" s="15" customFormat="1" ht="17.850000000000001" hidden="1" customHeight="1" outlineLevel="4">
      <c r="A678" s="70" t="s">
        <v>1066</v>
      </c>
      <c r="B678" s="139">
        <f>289.627*(1.3/71)</f>
        <v>5.3030295774647893</v>
      </c>
      <c r="C678" s="148" t="s">
        <v>1250</v>
      </c>
      <c r="D678" s="139">
        <v>5.3030295774647893</v>
      </c>
      <c r="E678" s="144" t="s">
        <v>1250</v>
      </c>
    </row>
    <row r="679" spans="1:5" s="15" customFormat="1" ht="17.850000000000001" hidden="1" customHeight="1" outlineLevel="4">
      <c r="A679" s="70" t="s">
        <v>1067</v>
      </c>
      <c r="B679" s="139">
        <f>710.632*(1.3/71)</f>
        <v>13.011571830985917</v>
      </c>
      <c r="C679" s="148" t="s">
        <v>1250</v>
      </c>
      <c r="D679" s="139">
        <v>13.011571830985917</v>
      </c>
      <c r="E679" s="144" t="s">
        <v>1250</v>
      </c>
    </row>
    <row r="680" spans="1:5" s="15" customFormat="1" ht="17.850000000000001" hidden="1" customHeight="1" outlineLevel="4">
      <c r="A680" s="70" t="s">
        <v>1068</v>
      </c>
      <c r="B680" s="139">
        <f>710.632*(1.3/71)</f>
        <v>13.011571830985917</v>
      </c>
      <c r="C680" s="148" t="s">
        <v>1250</v>
      </c>
      <c r="D680" s="139">
        <v>13.011571830985917</v>
      </c>
      <c r="E680" s="144" t="s">
        <v>1250</v>
      </c>
    </row>
    <row r="681" spans="1:5" s="15" customFormat="1" ht="17.850000000000001" hidden="1" customHeight="1" outlineLevel="4">
      <c r="A681" s="70" t="s">
        <v>1069</v>
      </c>
      <c r="B681" s="139">
        <f>710.632*(1.3/71)</f>
        <v>13.011571830985917</v>
      </c>
      <c r="C681" s="148" t="s">
        <v>1250</v>
      </c>
      <c r="D681" s="139">
        <v>13.011571830985917</v>
      </c>
      <c r="E681" s="144" t="s">
        <v>1250</v>
      </c>
    </row>
    <row r="682" spans="1:5" s="15" customFormat="1" ht="17.850000000000001" hidden="1" customHeight="1" outlineLevel="4">
      <c r="A682" s="70" t="s">
        <v>1070</v>
      </c>
      <c r="B682" s="139">
        <f>575.354*(1.3/71)</f>
        <v>10.534650704225353</v>
      </c>
      <c r="C682" s="148" t="s">
        <v>1250</v>
      </c>
      <c r="D682" s="139">
        <v>10.534650704225353</v>
      </c>
      <c r="E682" s="144" t="s">
        <v>1250</v>
      </c>
    </row>
    <row r="683" spans="1:5" s="15" customFormat="1" ht="17.850000000000001" hidden="1" customHeight="1" outlineLevel="4">
      <c r="A683" s="70" t="s">
        <v>1071</v>
      </c>
      <c r="B683" s="139">
        <f>530.309*(1.3/71)</f>
        <v>9.7098830985915505</v>
      </c>
      <c r="C683" s="148" t="s">
        <v>1250</v>
      </c>
      <c r="D683" s="139">
        <v>9.7098830985915505</v>
      </c>
      <c r="E683" s="144" t="s">
        <v>1250</v>
      </c>
    </row>
    <row r="684" spans="1:5" s="15" customFormat="1" ht="17.850000000000001" hidden="1" customHeight="1" outlineLevel="4">
      <c r="A684" s="70" t="s">
        <v>1072</v>
      </c>
      <c r="B684" s="139">
        <f t="shared" ref="B684:B690" si="11">575.354*(1.3/71)</f>
        <v>10.534650704225353</v>
      </c>
      <c r="C684" s="148" t="s">
        <v>1250</v>
      </c>
      <c r="D684" s="139">
        <v>10.534650704225353</v>
      </c>
      <c r="E684" s="144" t="s">
        <v>1250</v>
      </c>
    </row>
    <row r="685" spans="1:5" s="15" customFormat="1" ht="17.850000000000001" hidden="1" customHeight="1" outlineLevel="4">
      <c r="A685" s="70" t="s">
        <v>1073</v>
      </c>
      <c r="B685" s="139">
        <f t="shared" si="11"/>
        <v>10.534650704225353</v>
      </c>
      <c r="C685" s="148" t="s">
        <v>1250</v>
      </c>
      <c r="D685" s="139">
        <v>10.534650704225353</v>
      </c>
      <c r="E685" s="144" t="s">
        <v>1250</v>
      </c>
    </row>
    <row r="686" spans="1:5" s="15" customFormat="1" ht="17.850000000000001" hidden="1" customHeight="1" outlineLevel="4">
      <c r="A686" s="70" t="s">
        <v>1074</v>
      </c>
      <c r="B686" s="139">
        <f t="shared" si="11"/>
        <v>10.534650704225353</v>
      </c>
      <c r="C686" s="148" t="s">
        <v>1250</v>
      </c>
      <c r="D686" s="139">
        <v>10.534650704225353</v>
      </c>
      <c r="E686" s="144" t="s">
        <v>1250</v>
      </c>
    </row>
    <row r="687" spans="1:5" s="15" customFormat="1" ht="17.850000000000001" hidden="1" customHeight="1" outlineLevel="4">
      <c r="A687" s="70" t="s">
        <v>1075</v>
      </c>
      <c r="B687" s="139">
        <f t="shared" si="11"/>
        <v>10.534650704225353</v>
      </c>
      <c r="C687" s="148" t="s">
        <v>1250</v>
      </c>
      <c r="D687" s="139">
        <v>10.534650704225353</v>
      </c>
      <c r="E687" s="144" t="s">
        <v>1250</v>
      </c>
    </row>
    <row r="688" spans="1:5" s="15" customFormat="1" ht="17.850000000000001" hidden="1" customHeight="1" outlineLevel="4">
      <c r="A688" s="70" t="s">
        <v>1076</v>
      </c>
      <c r="B688" s="139">
        <f t="shared" si="11"/>
        <v>10.534650704225353</v>
      </c>
      <c r="C688" s="148" t="s">
        <v>1250</v>
      </c>
      <c r="D688" s="139">
        <v>10.534650704225353</v>
      </c>
      <c r="E688" s="144" t="s">
        <v>1250</v>
      </c>
    </row>
    <row r="689" spans="1:5" s="15" customFormat="1" ht="17.850000000000001" hidden="1" customHeight="1" outlineLevel="4">
      <c r="A689" s="70" t="s">
        <v>1077</v>
      </c>
      <c r="B689" s="139">
        <f t="shared" si="11"/>
        <v>10.534650704225353</v>
      </c>
      <c r="C689" s="148" t="s">
        <v>1250</v>
      </c>
      <c r="D689" s="139">
        <v>10.534650704225353</v>
      </c>
      <c r="E689" s="144" t="s">
        <v>1250</v>
      </c>
    </row>
    <row r="690" spans="1:5" s="15" customFormat="1" ht="17.850000000000001" hidden="1" customHeight="1" outlineLevel="4">
      <c r="A690" s="70" t="s">
        <v>1078</v>
      </c>
      <c r="B690" s="139">
        <f t="shared" si="11"/>
        <v>10.534650704225353</v>
      </c>
      <c r="C690" s="148" t="s">
        <v>1250</v>
      </c>
      <c r="D690" s="139">
        <v>10.534650704225353</v>
      </c>
      <c r="E690" s="144" t="s">
        <v>1250</v>
      </c>
    </row>
    <row r="691" spans="1:5" s="15" customFormat="1" ht="17.850000000000001" hidden="1" customHeight="1" outlineLevel="4">
      <c r="A691" s="70" t="s">
        <v>1079</v>
      </c>
      <c r="B691" s="139">
        <f>477.529*(1.3/71)</f>
        <v>8.7434887323943666</v>
      </c>
      <c r="C691" s="148" t="s">
        <v>1250</v>
      </c>
      <c r="D691" s="139">
        <v>8.7434887323943666</v>
      </c>
      <c r="E691" s="144" t="s">
        <v>1250</v>
      </c>
    </row>
    <row r="692" spans="1:5" s="15" customFormat="1" ht="17.850000000000001" hidden="1" customHeight="1" outlineLevel="4">
      <c r="A692" s="70" t="s">
        <v>1080</v>
      </c>
      <c r="B692" s="139">
        <f>796.9*(1.3/71)</f>
        <v>14.59112676056338</v>
      </c>
      <c r="C692" s="148" t="s">
        <v>1250</v>
      </c>
      <c r="D692" s="139">
        <v>14.59112676056338</v>
      </c>
      <c r="E692" s="144" t="s">
        <v>1250</v>
      </c>
    </row>
    <row r="693" spans="1:5" s="15" customFormat="1" ht="17.850000000000001" hidden="1" customHeight="1" outlineLevel="4">
      <c r="A693" s="70" t="s">
        <v>1081</v>
      </c>
      <c r="B693" s="139">
        <f>1326.299*(1.3/71)</f>
        <v>24.284347887323943</v>
      </c>
      <c r="C693" s="148" t="s">
        <v>1250</v>
      </c>
      <c r="D693" s="139">
        <v>24.284347887323943</v>
      </c>
      <c r="E693" s="144" t="s">
        <v>1250</v>
      </c>
    </row>
    <row r="694" spans="1:5" s="15" customFormat="1" ht="17.850000000000001" hidden="1" customHeight="1" outlineLevel="4">
      <c r="A694" s="70" t="s">
        <v>1082</v>
      </c>
      <c r="B694" s="139">
        <f>612.612*(1.3/71)</f>
        <v>11.21683943661972</v>
      </c>
      <c r="C694" s="148" t="s">
        <v>1250</v>
      </c>
      <c r="D694" s="139">
        <v>11.21683943661972</v>
      </c>
      <c r="E694" s="144" t="s">
        <v>1250</v>
      </c>
    </row>
    <row r="695" spans="1:5" s="15" customFormat="1" ht="17.850000000000001" hidden="1" customHeight="1" outlineLevel="4">
      <c r="A695" s="70" t="s">
        <v>1083</v>
      </c>
      <c r="B695" s="139">
        <f>328.016*(1.3/71)</f>
        <v>6.0059267605633808</v>
      </c>
      <c r="C695" s="148" t="s">
        <v>1250</v>
      </c>
      <c r="D695" s="139">
        <v>6.0059267605633808</v>
      </c>
      <c r="E695" s="144" t="s">
        <v>1250</v>
      </c>
    </row>
    <row r="696" spans="1:5" s="15" customFormat="1" ht="17.850000000000001" hidden="1" customHeight="1" outlineLevel="4">
      <c r="A696" s="70" t="s">
        <v>1084</v>
      </c>
      <c r="B696" s="139">
        <f>612.612*(1.3/71)</f>
        <v>11.21683943661972</v>
      </c>
      <c r="C696" s="148" t="s">
        <v>1250</v>
      </c>
      <c r="D696" s="139">
        <v>11.21683943661972</v>
      </c>
      <c r="E696" s="144" t="s">
        <v>1250</v>
      </c>
    </row>
    <row r="697" spans="1:5" s="15" customFormat="1" ht="17.850000000000001" hidden="1" customHeight="1" outlineLevel="4">
      <c r="A697" s="70" t="s">
        <v>1085</v>
      </c>
      <c r="B697" s="139">
        <f>612.612*(1.3/71)</f>
        <v>11.21683943661972</v>
      </c>
      <c r="C697" s="148" t="s">
        <v>1250</v>
      </c>
      <c r="D697" s="139">
        <v>11.21683943661972</v>
      </c>
      <c r="E697" s="144" t="s">
        <v>1250</v>
      </c>
    </row>
    <row r="698" spans="1:5" s="15" customFormat="1" ht="17.850000000000001" hidden="1" customHeight="1" outlineLevel="4">
      <c r="A698" s="70" t="s">
        <v>1086</v>
      </c>
      <c r="B698" s="139">
        <f>612.612*(1.3/71)</f>
        <v>11.21683943661972</v>
      </c>
      <c r="C698" s="148" t="s">
        <v>1250</v>
      </c>
      <c r="D698" s="139">
        <v>11.21683943661972</v>
      </c>
      <c r="E698" s="144" t="s">
        <v>1250</v>
      </c>
    </row>
    <row r="699" spans="1:5" s="15" customFormat="1" ht="17.850000000000001" hidden="1" customHeight="1" outlineLevel="4">
      <c r="A699" s="70" t="s">
        <v>1087</v>
      </c>
      <c r="B699" s="139">
        <f>381.654*(1.3/71)</f>
        <v>6.9880309859154925</v>
      </c>
      <c r="C699" s="148" t="s">
        <v>1250</v>
      </c>
      <c r="D699" s="139">
        <v>6.9880309859154925</v>
      </c>
      <c r="E699" s="144" t="s">
        <v>1250</v>
      </c>
    </row>
    <row r="700" spans="1:5" s="15" customFormat="1" ht="17.850000000000001" hidden="1" customHeight="1" outlineLevel="4">
      <c r="A700" s="70" t="s">
        <v>1088</v>
      </c>
      <c r="B700" s="139">
        <f>794.222*(1.3/71)</f>
        <v>14.54209295774648</v>
      </c>
      <c r="C700" s="148" t="s">
        <v>1250</v>
      </c>
      <c r="D700" s="139">
        <v>14.542092957746481</v>
      </c>
      <c r="E700" s="144" t="s">
        <v>1250</v>
      </c>
    </row>
    <row r="701" spans="1:5" s="15" customFormat="1" ht="17.850000000000001" hidden="1" customHeight="1" outlineLevel="4">
      <c r="A701" s="70" t="s">
        <v>1089</v>
      </c>
      <c r="B701" s="139">
        <f>1098.825*(1.3/71)</f>
        <v>20.119330985915493</v>
      </c>
      <c r="C701" s="148" t="s">
        <v>1250</v>
      </c>
      <c r="D701" s="139">
        <v>20.119330985915493</v>
      </c>
      <c r="E701" s="144" t="s">
        <v>1250</v>
      </c>
    </row>
    <row r="702" spans="1:5" s="16" customFormat="1" ht="16.350000000000001" hidden="1" customHeight="1" outlineLevel="3" collapsed="1">
      <c r="A702" s="22" t="s">
        <v>1090</v>
      </c>
      <c r="B702" s="21"/>
      <c r="C702" s="21"/>
      <c r="D702" s="21"/>
      <c r="E702" s="141"/>
    </row>
    <row r="703" spans="1:5" s="15" customFormat="1" ht="17.850000000000001" hidden="1" customHeight="1" outlineLevel="4">
      <c r="A703" s="70" t="s">
        <v>1091</v>
      </c>
      <c r="B703" s="139">
        <f>231.374*(1.3/71)</f>
        <v>4.2364253521126756</v>
      </c>
      <c r="C703" s="148" t="s">
        <v>1250</v>
      </c>
      <c r="D703" s="139">
        <v>4.2364253521126765</v>
      </c>
      <c r="E703" s="144" t="s">
        <v>1250</v>
      </c>
    </row>
    <row r="704" spans="1:5" s="15" customFormat="1" ht="17.850000000000001" hidden="1" customHeight="1" outlineLevel="4">
      <c r="A704" s="70" t="s">
        <v>1092</v>
      </c>
      <c r="B704" s="139">
        <f>231.374*(1.3/71)</f>
        <v>4.2364253521126756</v>
      </c>
      <c r="C704" s="148" t="s">
        <v>1250</v>
      </c>
      <c r="D704" s="139">
        <v>4.2364253521126765</v>
      </c>
      <c r="E704" s="144" t="s">
        <v>1250</v>
      </c>
    </row>
    <row r="705" spans="1:5" s="15" customFormat="1" ht="17.850000000000001" hidden="1" customHeight="1" outlineLevel="4">
      <c r="A705" s="70" t="s">
        <v>1093</v>
      </c>
      <c r="B705" s="139">
        <f>231.374*(1.3/71)</f>
        <v>4.2364253521126756</v>
      </c>
      <c r="C705" s="148" t="s">
        <v>1250</v>
      </c>
      <c r="D705" s="139">
        <v>4.2364253521126765</v>
      </c>
      <c r="E705" s="144" t="s">
        <v>1250</v>
      </c>
    </row>
    <row r="706" spans="1:5" s="15" customFormat="1" ht="17.850000000000001" hidden="1" customHeight="1" outlineLevel="4">
      <c r="A706" s="70" t="s">
        <v>1094</v>
      </c>
      <c r="B706" s="139">
        <f>231.374*(1.3/71)</f>
        <v>4.2364253521126756</v>
      </c>
      <c r="C706" s="148" t="s">
        <v>1250</v>
      </c>
      <c r="D706" s="139">
        <v>4.2364253521126765</v>
      </c>
      <c r="E706" s="144" t="s">
        <v>1250</v>
      </c>
    </row>
    <row r="707" spans="1:5" s="15" customFormat="1" ht="17.850000000000001" hidden="1" customHeight="1" outlineLevel="4">
      <c r="A707" s="70" t="s">
        <v>1095</v>
      </c>
      <c r="B707" s="139">
        <f>231.374*(1.3/71)</f>
        <v>4.2364253521126756</v>
      </c>
      <c r="C707" s="148" t="s">
        <v>1250</v>
      </c>
      <c r="D707" s="139">
        <v>4.2364253521126765</v>
      </c>
      <c r="E707" s="144" t="s">
        <v>1250</v>
      </c>
    </row>
    <row r="708" spans="1:5" s="15" customFormat="1" ht="17.850000000000001" hidden="1" customHeight="1" outlineLevel="4">
      <c r="A708" s="70" t="s">
        <v>1096</v>
      </c>
      <c r="B708" s="139">
        <f>723.45*(1.3/71)</f>
        <v>13.246267605633804</v>
      </c>
      <c r="C708" s="148" t="s">
        <v>1251</v>
      </c>
      <c r="D708" s="139">
        <v>1.3246267605633804</v>
      </c>
      <c r="E708" s="144" t="s">
        <v>1250</v>
      </c>
    </row>
    <row r="709" spans="1:5" s="15" customFormat="1" ht="32.85" hidden="1" customHeight="1" outlineLevel="4">
      <c r="A709" s="70" t="s">
        <v>1097</v>
      </c>
      <c r="B709" s="139">
        <f>353.197*(1.3/71)</f>
        <v>6.4669873239436617</v>
      </c>
      <c r="C709" s="148" t="s">
        <v>1250</v>
      </c>
      <c r="D709" s="139">
        <v>6.4669873239436626</v>
      </c>
      <c r="E709" s="144" t="s">
        <v>1250</v>
      </c>
    </row>
    <row r="710" spans="1:5" s="16" customFormat="1" ht="16.350000000000001" hidden="1" customHeight="1" outlineLevel="3" collapsed="1">
      <c r="A710" s="22" t="s">
        <v>1098</v>
      </c>
      <c r="B710" s="21"/>
      <c r="C710" s="21"/>
      <c r="D710" s="21"/>
      <c r="E710" s="141"/>
    </row>
    <row r="711" spans="1:5" s="15" customFormat="1" ht="32.85" hidden="1" customHeight="1" outlineLevel="4">
      <c r="A711" s="70" t="s">
        <v>1099</v>
      </c>
      <c r="B711" s="139">
        <f>403.65*(1.3/71)</f>
        <v>7.3907746478873246</v>
      </c>
      <c r="C711" s="148" t="s">
        <v>1250</v>
      </c>
      <c r="D711" s="139">
        <v>7.3907746478873255</v>
      </c>
      <c r="E711" s="144" t="s">
        <v>1250</v>
      </c>
    </row>
    <row r="712" spans="1:5" s="15" customFormat="1" ht="32.85" hidden="1" customHeight="1" outlineLevel="4">
      <c r="A712" s="70" t="s">
        <v>1100</v>
      </c>
      <c r="B712" s="139">
        <f>235.469*(1.3/71)</f>
        <v>4.3114042253521125</v>
      </c>
      <c r="C712" s="148" t="s">
        <v>1250</v>
      </c>
      <c r="D712" s="139">
        <v>4.3114042253521125</v>
      </c>
      <c r="E712" s="144" t="s">
        <v>1250</v>
      </c>
    </row>
    <row r="713" spans="1:5" s="15" customFormat="1" ht="32.85" hidden="1" customHeight="1" outlineLevel="4">
      <c r="A713" s="70" t="s">
        <v>1101</v>
      </c>
      <c r="B713" s="139">
        <f>452.088*(1.3/71)</f>
        <v>8.2776676056338037</v>
      </c>
      <c r="C713" s="148" t="s">
        <v>1250</v>
      </c>
      <c r="D713" s="139">
        <v>8.2776676056338037</v>
      </c>
      <c r="E713" s="144" t="s">
        <v>1250</v>
      </c>
    </row>
    <row r="714" spans="1:5" s="15" customFormat="1" ht="32.85" hidden="1" customHeight="1" outlineLevel="4">
      <c r="A714" s="70" t="s">
        <v>1102</v>
      </c>
      <c r="B714" s="139">
        <f>269.1*(1.3/71)</f>
        <v>4.9271830985915495</v>
      </c>
      <c r="C714" s="148" t="s">
        <v>1250</v>
      </c>
      <c r="D714" s="139">
        <v>4.9271830985915495</v>
      </c>
      <c r="E714" s="144" t="s">
        <v>1250</v>
      </c>
    </row>
    <row r="715" spans="1:5" s="15" customFormat="1" ht="32.85" hidden="1" customHeight="1" outlineLevel="4">
      <c r="A715" s="70" t="s">
        <v>1103</v>
      </c>
      <c r="B715" s="139">
        <f>419.796*(1.3/71)</f>
        <v>7.6864056338028179</v>
      </c>
      <c r="C715" s="148" t="s">
        <v>1250</v>
      </c>
      <c r="D715" s="139">
        <v>7.6864056338028179</v>
      </c>
      <c r="E715" s="144" t="s">
        <v>1250</v>
      </c>
    </row>
    <row r="716" spans="1:5" s="15" customFormat="1" ht="32.85" hidden="1" customHeight="1" outlineLevel="4">
      <c r="A716" s="70" t="s">
        <v>1104</v>
      </c>
      <c r="B716" s="139">
        <f>174.915*(1.3/71)</f>
        <v>3.2026690140845075</v>
      </c>
      <c r="C716" s="148" t="s">
        <v>1250</v>
      </c>
      <c r="D716" s="139">
        <v>3.2026690140845075</v>
      </c>
      <c r="E716" s="144" t="s">
        <v>1250</v>
      </c>
    </row>
    <row r="717" spans="1:5" s="15" customFormat="1" ht="32.85" hidden="1" customHeight="1" outlineLevel="4">
      <c r="A717" s="70" t="s">
        <v>1105</v>
      </c>
      <c r="B717" s="139">
        <f>248.924*(1.3/71)</f>
        <v>4.5577633802816901</v>
      </c>
      <c r="C717" s="148" t="s">
        <v>1250</v>
      </c>
      <c r="D717" s="139">
        <v>4.5577633802816901</v>
      </c>
      <c r="E717" s="144" t="s">
        <v>1250</v>
      </c>
    </row>
    <row r="718" spans="1:5" s="15" customFormat="1" ht="32.85" hidden="1" customHeight="1" outlineLevel="4">
      <c r="A718" s="70" t="s">
        <v>1106</v>
      </c>
      <c r="B718" s="139">
        <f>481.689*(1.3/71)</f>
        <v>8.8196577464788728</v>
      </c>
      <c r="C718" s="148" t="s">
        <v>1250</v>
      </c>
      <c r="D718" s="139">
        <v>8.8196577464788728</v>
      </c>
      <c r="E718" s="144" t="s">
        <v>1250</v>
      </c>
    </row>
    <row r="719" spans="1:5" s="15" customFormat="1" ht="32.85" hidden="1" customHeight="1" outlineLevel="4">
      <c r="A719" s="70" t="s">
        <v>1107</v>
      </c>
      <c r="B719" s="139">
        <f>322.92*(1.3/71)</f>
        <v>5.912619718309859</v>
      </c>
      <c r="C719" s="148" t="s">
        <v>1250</v>
      </c>
      <c r="D719" s="139">
        <v>5.9126197183098599</v>
      </c>
      <c r="E719" s="144" t="s">
        <v>1250</v>
      </c>
    </row>
    <row r="720" spans="1:5" s="15" customFormat="1" ht="32.85" hidden="1" customHeight="1" outlineLevel="4">
      <c r="A720" s="70" t="s">
        <v>1108</v>
      </c>
      <c r="B720" s="139">
        <f>256.997*(1.3/71)</f>
        <v>4.7055788732394372</v>
      </c>
      <c r="C720" s="148" t="s">
        <v>1250</v>
      </c>
      <c r="D720" s="139">
        <v>4.7055788732394372</v>
      </c>
      <c r="E720" s="144" t="s">
        <v>1250</v>
      </c>
    </row>
    <row r="721" spans="1:5" s="15" customFormat="1" ht="32.85" hidden="1" customHeight="1" outlineLevel="4">
      <c r="A721" s="70" t="s">
        <v>1109</v>
      </c>
      <c r="B721" s="139">
        <f>201.825*(1.3/71)</f>
        <v>3.6953873239436623</v>
      </c>
      <c r="C721" s="148" t="s">
        <v>1250</v>
      </c>
      <c r="D721" s="139">
        <v>3.6953873239436628</v>
      </c>
      <c r="E721" s="144" t="s">
        <v>1250</v>
      </c>
    </row>
    <row r="722" spans="1:5" s="15" customFormat="1" ht="32.85" hidden="1" customHeight="1" outlineLevel="4">
      <c r="A722" s="70" t="s">
        <v>1110</v>
      </c>
      <c r="B722" s="139">
        <f>706.394*(1.3/71)</f>
        <v>12.933974647887323</v>
      </c>
      <c r="C722" s="148" t="s">
        <v>1250</v>
      </c>
      <c r="D722" s="139">
        <v>12.933974647887325</v>
      </c>
      <c r="E722" s="144" t="s">
        <v>1250</v>
      </c>
    </row>
    <row r="723" spans="1:5" s="15" customFormat="1" ht="32.85" hidden="1" customHeight="1" outlineLevel="4">
      <c r="A723" s="70" t="s">
        <v>1111</v>
      </c>
      <c r="B723" s="139">
        <f>648.531*(1.3/71)</f>
        <v>11.874511267605635</v>
      </c>
      <c r="C723" s="148" t="s">
        <v>1250</v>
      </c>
      <c r="D723" s="139">
        <v>11.874511267605635</v>
      </c>
      <c r="E723" s="144" t="s">
        <v>1250</v>
      </c>
    </row>
    <row r="724" spans="1:5" s="15" customFormat="1" ht="32.85" hidden="1" customHeight="1" outlineLevel="4">
      <c r="A724" s="70" t="s">
        <v>1112</v>
      </c>
      <c r="B724" s="139">
        <f>363.285*(1.3/71)</f>
        <v>6.6516971830985918</v>
      </c>
      <c r="C724" s="148" t="s">
        <v>1250</v>
      </c>
      <c r="D724" s="139">
        <v>6.6516971830985918</v>
      </c>
      <c r="E724" s="144" t="s">
        <v>1250</v>
      </c>
    </row>
    <row r="725" spans="1:5" s="15" customFormat="1" ht="32.85" hidden="1" customHeight="1" outlineLevel="4">
      <c r="A725" s="70" t="s">
        <v>1113</v>
      </c>
      <c r="B725" s="139">
        <f>296.01*(1.3/71)</f>
        <v>5.4199014084507038</v>
      </c>
      <c r="C725" s="148" t="s">
        <v>1250</v>
      </c>
      <c r="D725" s="139">
        <v>5.4199014084507038</v>
      </c>
      <c r="E725" s="144" t="s">
        <v>1250</v>
      </c>
    </row>
    <row r="726" spans="1:5" s="15" customFormat="1" ht="32.85" hidden="1" customHeight="1" outlineLevel="4">
      <c r="A726" s="70" t="s">
        <v>1114</v>
      </c>
      <c r="B726" s="139">
        <f>114.374*(1.3/71)</f>
        <v>2.0941718309859159</v>
      </c>
      <c r="C726" s="148" t="s">
        <v>1250</v>
      </c>
      <c r="D726" s="139">
        <v>2.0941718309859159</v>
      </c>
      <c r="E726" s="144" t="s">
        <v>1250</v>
      </c>
    </row>
    <row r="727" spans="1:5" s="15" customFormat="1" ht="32.85" hidden="1" customHeight="1" outlineLevel="4">
      <c r="A727" s="70" t="s">
        <v>1115</v>
      </c>
      <c r="B727" s="139">
        <f>195.104*(1.3/71)</f>
        <v>3.5723267605633806</v>
      </c>
      <c r="C727" s="148" t="s">
        <v>1250</v>
      </c>
      <c r="D727" s="139">
        <v>3.5723267605633806</v>
      </c>
      <c r="E727" s="144" t="s">
        <v>1250</v>
      </c>
    </row>
    <row r="728" spans="1:5" s="16" customFormat="1" ht="16.350000000000001" hidden="1" customHeight="1" outlineLevel="3" collapsed="1">
      <c r="A728" s="22" t="s">
        <v>1116</v>
      </c>
      <c r="B728" s="21"/>
      <c r="C728" s="21"/>
      <c r="D728" s="21"/>
      <c r="E728" s="141"/>
    </row>
    <row r="729" spans="1:5" s="15" customFormat="1" ht="17.850000000000001" hidden="1" customHeight="1" outlineLevel="4">
      <c r="A729" s="70" t="s">
        <v>1117</v>
      </c>
      <c r="B729" s="139">
        <f>598.832*(1.3/71)</f>
        <v>10.964529577464788</v>
      </c>
      <c r="C729" s="148" t="s">
        <v>1250</v>
      </c>
      <c r="D729" s="139">
        <v>10.96452957746479</v>
      </c>
      <c r="E729" s="144" t="s">
        <v>1250</v>
      </c>
    </row>
    <row r="730" spans="1:5" s="15" customFormat="1" ht="17.850000000000001" hidden="1" customHeight="1" outlineLevel="4">
      <c r="A730" s="70" t="s">
        <v>1118</v>
      </c>
      <c r="B730" s="139">
        <f>620.737*(1.3/71)</f>
        <v>11.365607042253522</v>
      </c>
      <c r="C730" s="148" t="s">
        <v>1250</v>
      </c>
      <c r="D730" s="139">
        <v>11.365607042253524</v>
      </c>
      <c r="E730" s="144" t="s">
        <v>1250</v>
      </c>
    </row>
    <row r="731" spans="1:5" s="15" customFormat="1" ht="17.850000000000001" hidden="1" customHeight="1" outlineLevel="4">
      <c r="A731" s="70" t="s">
        <v>1119</v>
      </c>
      <c r="B731" s="139">
        <f>620.737*(1.3/71)</f>
        <v>11.365607042253522</v>
      </c>
      <c r="C731" s="148" t="s">
        <v>1250</v>
      </c>
      <c r="D731" s="139">
        <v>11.365607042253524</v>
      </c>
      <c r="E731" s="144" t="s">
        <v>1250</v>
      </c>
    </row>
    <row r="732" spans="1:5" s="15" customFormat="1" ht="17.850000000000001" hidden="1" customHeight="1" outlineLevel="4">
      <c r="A732" s="70" t="s">
        <v>1120</v>
      </c>
      <c r="B732" s="139">
        <f>620.737*(1.3/71)</f>
        <v>11.365607042253522</v>
      </c>
      <c r="C732" s="148" t="s">
        <v>1250</v>
      </c>
      <c r="D732" s="139">
        <v>11.365607042253524</v>
      </c>
      <c r="E732" s="144" t="s">
        <v>1250</v>
      </c>
    </row>
    <row r="733" spans="1:5" s="15" customFormat="1" ht="17.850000000000001" hidden="1" customHeight="1" outlineLevel="4">
      <c r="A733" s="70" t="s">
        <v>1121</v>
      </c>
      <c r="B733" s="139">
        <f>620.737*(1.3/71)</f>
        <v>11.365607042253522</v>
      </c>
      <c r="C733" s="148" t="s">
        <v>1250</v>
      </c>
      <c r="D733" s="139">
        <v>11.365607042253524</v>
      </c>
      <c r="E733" s="144" t="s">
        <v>1250</v>
      </c>
    </row>
    <row r="734" spans="1:5" s="15" customFormat="1" ht="17.850000000000001" hidden="1" customHeight="1" outlineLevel="4">
      <c r="A734" s="70" t="s">
        <v>1122</v>
      </c>
      <c r="B734" s="139">
        <f>658.853*(1.3/71)</f>
        <v>12.063505633802817</v>
      </c>
      <c r="C734" s="148" t="s">
        <v>1250</v>
      </c>
      <c r="D734" s="139">
        <v>12.063505633802819</v>
      </c>
      <c r="E734" s="144" t="s">
        <v>1250</v>
      </c>
    </row>
    <row r="735" spans="1:5" s="15" customFormat="1" ht="17.850000000000001" hidden="1" customHeight="1" outlineLevel="4">
      <c r="A735" s="70" t="s">
        <v>1123</v>
      </c>
      <c r="B735" s="139">
        <f>658.853*(1.3/71)</f>
        <v>12.063505633802817</v>
      </c>
      <c r="C735" s="148" t="s">
        <v>1250</v>
      </c>
      <c r="D735" s="139">
        <v>12.063505633802819</v>
      </c>
      <c r="E735" s="144" t="s">
        <v>1250</v>
      </c>
    </row>
    <row r="736" spans="1:5" s="15" customFormat="1" ht="17.850000000000001" hidden="1" customHeight="1" outlineLevel="4">
      <c r="A736" s="70" t="s">
        <v>1124</v>
      </c>
      <c r="B736" s="139">
        <f>658.853*(1.3/71)</f>
        <v>12.063505633802817</v>
      </c>
      <c r="C736" s="148" t="s">
        <v>1250</v>
      </c>
      <c r="D736" s="139">
        <v>12.063505633802819</v>
      </c>
      <c r="E736" s="144" t="s">
        <v>1250</v>
      </c>
    </row>
    <row r="737" spans="1:5" s="15" customFormat="1" ht="17.850000000000001" hidden="1" customHeight="1" outlineLevel="4">
      <c r="A737" s="70" t="s">
        <v>1125</v>
      </c>
      <c r="B737" s="139">
        <f>627.484*(1.3/71)</f>
        <v>11.489143661971832</v>
      </c>
      <c r="C737" s="148" t="s">
        <v>1250</v>
      </c>
      <c r="D737" s="139">
        <v>11.489143661971832</v>
      </c>
      <c r="E737" s="144" t="s">
        <v>1250</v>
      </c>
    </row>
    <row r="738" spans="1:5" s="15" customFormat="1" ht="17.850000000000001" hidden="1" customHeight="1" outlineLevel="4">
      <c r="A738" s="70" t="s">
        <v>1126</v>
      </c>
      <c r="B738" s="139">
        <f>658.853*(1.3/71)</f>
        <v>12.063505633802817</v>
      </c>
      <c r="C738" s="148" t="s">
        <v>1250</v>
      </c>
      <c r="D738" s="139">
        <v>12.063505633802819</v>
      </c>
      <c r="E738" s="144" t="s">
        <v>1250</v>
      </c>
    </row>
    <row r="739" spans="1:5" s="15" customFormat="1" ht="32.85" hidden="1" customHeight="1" outlineLevel="4">
      <c r="A739" s="70" t="s">
        <v>1127</v>
      </c>
      <c r="B739" s="139">
        <f>658.853*(1.3/71)</f>
        <v>12.063505633802817</v>
      </c>
      <c r="C739" s="148" t="s">
        <v>1250</v>
      </c>
      <c r="D739" s="139">
        <v>12.063505633802819</v>
      </c>
      <c r="E739" s="144" t="s">
        <v>1250</v>
      </c>
    </row>
    <row r="740" spans="1:5" s="15" customFormat="1" ht="17.850000000000001" hidden="1" customHeight="1" outlineLevel="4">
      <c r="A740" s="70" t="s">
        <v>1128</v>
      </c>
      <c r="B740" s="139">
        <f>463.203*(1.3/71)</f>
        <v>8.4811816901408452</v>
      </c>
      <c r="C740" s="148" t="s">
        <v>1250</v>
      </c>
      <c r="D740" s="139">
        <v>8.4811816901408452</v>
      </c>
      <c r="E740" s="144" t="s">
        <v>1250</v>
      </c>
    </row>
    <row r="741" spans="1:5" s="15" customFormat="1" ht="17.850000000000001" hidden="1" customHeight="1" outlineLevel="4">
      <c r="A741" s="70" t="s">
        <v>1129</v>
      </c>
      <c r="B741" s="139">
        <f>321.321*(1.3/71)</f>
        <v>5.8833422535211266</v>
      </c>
      <c r="C741" s="148" t="s">
        <v>1250</v>
      </c>
      <c r="D741" s="139">
        <v>5.8833422535211266</v>
      </c>
      <c r="E741" s="144" t="s">
        <v>1250</v>
      </c>
    </row>
    <row r="742" spans="1:5" s="15" customFormat="1" ht="17.850000000000001" hidden="1" customHeight="1" outlineLevel="4">
      <c r="A742" s="70" t="s">
        <v>1130</v>
      </c>
      <c r="B742" s="139">
        <f>143.13*(1.3/71)</f>
        <v>2.6206901408450705</v>
      </c>
      <c r="C742" s="148" t="s">
        <v>1250</v>
      </c>
      <c r="D742" s="139">
        <v>2.6206901408450705</v>
      </c>
      <c r="E742" s="144" t="s">
        <v>1250</v>
      </c>
    </row>
    <row r="743" spans="1:5" s="15" customFormat="1" ht="17.850000000000001" hidden="1" customHeight="1" outlineLevel="4">
      <c r="A743" s="70" t="s">
        <v>1131</v>
      </c>
      <c r="B743" s="139">
        <f>185.484*(1.3/71)</f>
        <v>3.3961859154929579</v>
      </c>
      <c r="C743" s="148" t="s">
        <v>1250</v>
      </c>
      <c r="D743" s="139">
        <v>3.3961859154929579</v>
      </c>
      <c r="E743" s="144" t="s">
        <v>1250</v>
      </c>
    </row>
    <row r="744" spans="1:5" s="16" customFormat="1" ht="16.350000000000001" hidden="1" customHeight="1" outlineLevel="3" collapsed="1">
      <c r="A744" s="22" t="s">
        <v>1132</v>
      </c>
      <c r="B744" s="21"/>
      <c r="C744" s="21"/>
      <c r="D744" s="21"/>
      <c r="E744" s="141"/>
    </row>
    <row r="745" spans="1:5" s="16" customFormat="1" ht="16.350000000000001" hidden="1" customHeight="1" outlineLevel="4" collapsed="1">
      <c r="A745" s="70" t="s">
        <v>1133</v>
      </c>
      <c r="B745" s="139">
        <f>0*(1.3/71)</f>
        <v>0</v>
      </c>
      <c r="C745" s="148"/>
      <c r="D745" s="139">
        <v>0</v>
      </c>
      <c r="E745" s="144"/>
    </row>
    <row r="746" spans="1:5" s="15" customFormat="1" ht="17.850000000000001" hidden="1" customHeight="1" outlineLevel="5">
      <c r="A746" s="70" t="s">
        <v>1134</v>
      </c>
      <c r="B746" s="139">
        <f t="shared" ref="B746:B767" si="12">445.679*(1.3/71)</f>
        <v>8.160319718309859</v>
      </c>
      <c r="C746" s="148"/>
      <c r="D746" s="139">
        <v>8.160319718309859</v>
      </c>
      <c r="E746" s="144" t="s">
        <v>1250</v>
      </c>
    </row>
    <row r="747" spans="1:5" s="15" customFormat="1" ht="17.850000000000001" hidden="1" customHeight="1" outlineLevel="5">
      <c r="A747" s="70" t="s">
        <v>1135</v>
      </c>
      <c r="B747" s="139">
        <f t="shared" si="12"/>
        <v>8.160319718309859</v>
      </c>
      <c r="C747" s="148"/>
      <c r="D747" s="139">
        <v>8.160319718309859</v>
      </c>
      <c r="E747" s="144" t="s">
        <v>1250</v>
      </c>
    </row>
    <row r="748" spans="1:5" s="15" customFormat="1" ht="17.850000000000001" hidden="1" customHeight="1" outlineLevel="5">
      <c r="A748" s="70" t="s">
        <v>1136</v>
      </c>
      <c r="B748" s="139">
        <f t="shared" si="12"/>
        <v>8.160319718309859</v>
      </c>
      <c r="C748" s="148"/>
      <c r="D748" s="139">
        <v>8.160319718309859</v>
      </c>
      <c r="E748" s="144" t="s">
        <v>1250</v>
      </c>
    </row>
    <row r="749" spans="1:5" s="15" customFormat="1" ht="17.850000000000001" hidden="1" customHeight="1" outlineLevel="5">
      <c r="A749" s="70" t="s">
        <v>1137</v>
      </c>
      <c r="B749" s="139">
        <f t="shared" si="12"/>
        <v>8.160319718309859</v>
      </c>
      <c r="C749" s="148" t="s">
        <v>1250</v>
      </c>
      <c r="D749" s="139">
        <v>8.160319718309859</v>
      </c>
      <c r="E749" s="144" t="s">
        <v>1250</v>
      </c>
    </row>
    <row r="750" spans="1:5" s="15" customFormat="1" ht="17.850000000000001" hidden="1" customHeight="1" outlineLevel="5">
      <c r="A750" s="70" t="s">
        <v>1138</v>
      </c>
      <c r="B750" s="139">
        <f t="shared" si="12"/>
        <v>8.160319718309859</v>
      </c>
      <c r="C750" s="148" t="s">
        <v>1250</v>
      </c>
      <c r="D750" s="139">
        <v>8.160319718309859</v>
      </c>
      <c r="E750" s="144" t="s">
        <v>1250</v>
      </c>
    </row>
    <row r="751" spans="1:5" s="15" customFormat="1" ht="17.850000000000001" hidden="1" customHeight="1" outlineLevel="5">
      <c r="A751" s="70" t="s">
        <v>1139</v>
      </c>
      <c r="B751" s="139">
        <f t="shared" si="12"/>
        <v>8.160319718309859</v>
      </c>
      <c r="C751" s="148" t="s">
        <v>1250</v>
      </c>
      <c r="D751" s="139">
        <v>8.160319718309859</v>
      </c>
      <c r="E751" s="144" t="s">
        <v>1250</v>
      </c>
    </row>
    <row r="752" spans="1:5" s="15" customFormat="1" ht="17.850000000000001" hidden="1" customHeight="1" outlineLevel="5">
      <c r="A752" s="70" t="s">
        <v>1140</v>
      </c>
      <c r="B752" s="139">
        <f t="shared" si="12"/>
        <v>8.160319718309859</v>
      </c>
      <c r="C752" s="148"/>
      <c r="D752" s="139">
        <v>8.160319718309859</v>
      </c>
      <c r="E752" s="144" t="s">
        <v>1250</v>
      </c>
    </row>
    <row r="753" spans="1:5" s="15" customFormat="1" ht="17.850000000000001" hidden="1" customHeight="1" outlineLevel="5">
      <c r="A753" s="70" t="s">
        <v>1141</v>
      </c>
      <c r="B753" s="139">
        <f t="shared" si="12"/>
        <v>8.160319718309859</v>
      </c>
      <c r="C753" s="148" t="s">
        <v>1250</v>
      </c>
      <c r="D753" s="139">
        <v>8.160319718309859</v>
      </c>
      <c r="E753" s="144" t="s">
        <v>1250</v>
      </c>
    </row>
    <row r="754" spans="1:5" s="15" customFormat="1" ht="17.850000000000001" hidden="1" customHeight="1" outlineLevel="5">
      <c r="A754" s="70" t="s">
        <v>1142</v>
      </c>
      <c r="B754" s="139">
        <f t="shared" si="12"/>
        <v>8.160319718309859</v>
      </c>
      <c r="C754" s="148" t="s">
        <v>1250</v>
      </c>
      <c r="D754" s="139">
        <v>8.160319718309859</v>
      </c>
      <c r="E754" s="144" t="s">
        <v>1250</v>
      </c>
    </row>
    <row r="755" spans="1:5" s="15" customFormat="1" ht="17.850000000000001" hidden="1" customHeight="1" outlineLevel="5">
      <c r="A755" s="70" t="s">
        <v>1143</v>
      </c>
      <c r="B755" s="139">
        <f t="shared" si="12"/>
        <v>8.160319718309859</v>
      </c>
      <c r="C755" s="148" t="s">
        <v>1250</v>
      </c>
      <c r="D755" s="139">
        <v>8.160319718309859</v>
      </c>
      <c r="E755" s="144" t="s">
        <v>1250</v>
      </c>
    </row>
    <row r="756" spans="1:5" s="15" customFormat="1" ht="17.850000000000001" hidden="1" customHeight="1" outlineLevel="5">
      <c r="A756" s="70" t="s">
        <v>1144</v>
      </c>
      <c r="B756" s="139">
        <f t="shared" si="12"/>
        <v>8.160319718309859</v>
      </c>
      <c r="C756" s="148" t="s">
        <v>1250</v>
      </c>
      <c r="D756" s="139">
        <v>8.160319718309859</v>
      </c>
      <c r="E756" s="144" t="s">
        <v>1250</v>
      </c>
    </row>
    <row r="757" spans="1:5" s="15" customFormat="1" ht="17.850000000000001" hidden="1" customHeight="1" outlineLevel="5">
      <c r="A757" s="70" t="s">
        <v>1145</v>
      </c>
      <c r="B757" s="139">
        <f t="shared" si="12"/>
        <v>8.160319718309859</v>
      </c>
      <c r="C757" s="148" t="s">
        <v>1250</v>
      </c>
      <c r="D757" s="139">
        <v>8.160319718309859</v>
      </c>
      <c r="E757" s="144" t="s">
        <v>1250</v>
      </c>
    </row>
    <row r="758" spans="1:5" s="15" customFormat="1" ht="17.850000000000001" hidden="1" customHeight="1" outlineLevel="5">
      <c r="A758" s="70" t="s">
        <v>1146</v>
      </c>
      <c r="B758" s="139">
        <f t="shared" si="12"/>
        <v>8.160319718309859</v>
      </c>
      <c r="C758" s="148" t="s">
        <v>1250</v>
      </c>
      <c r="D758" s="139">
        <v>8.160319718309859</v>
      </c>
      <c r="E758" s="144" t="s">
        <v>1250</v>
      </c>
    </row>
    <row r="759" spans="1:5" s="15" customFormat="1" ht="17.850000000000001" hidden="1" customHeight="1" outlineLevel="5">
      <c r="A759" s="70" t="s">
        <v>1147</v>
      </c>
      <c r="B759" s="139">
        <f t="shared" si="12"/>
        <v>8.160319718309859</v>
      </c>
      <c r="C759" s="148" t="s">
        <v>1250</v>
      </c>
      <c r="D759" s="139">
        <v>8.160319718309859</v>
      </c>
      <c r="E759" s="144" t="s">
        <v>1250</v>
      </c>
    </row>
    <row r="760" spans="1:5" s="15" customFormat="1" ht="17.850000000000001" hidden="1" customHeight="1" outlineLevel="5">
      <c r="A760" s="70" t="s">
        <v>1148</v>
      </c>
      <c r="B760" s="139">
        <f t="shared" si="12"/>
        <v>8.160319718309859</v>
      </c>
      <c r="C760" s="148" t="s">
        <v>1250</v>
      </c>
      <c r="D760" s="139">
        <v>8.160319718309859</v>
      </c>
      <c r="E760" s="144" t="s">
        <v>1250</v>
      </c>
    </row>
    <row r="761" spans="1:5" s="15" customFormat="1" ht="17.850000000000001" hidden="1" customHeight="1" outlineLevel="5">
      <c r="A761" s="70" t="s">
        <v>1149</v>
      </c>
      <c r="B761" s="139">
        <f t="shared" si="12"/>
        <v>8.160319718309859</v>
      </c>
      <c r="C761" s="148" t="s">
        <v>1250</v>
      </c>
      <c r="D761" s="139">
        <v>8.160319718309859</v>
      </c>
      <c r="E761" s="144" t="s">
        <v>1250</v>
      </c>
    </row>
    <row r="762" spans="1:5" s="15" customFormat="1" ht="17.850000000000001" hidden="1" customHeight="1" outlineLevel="5">
      <c r="A762" s="70" t="s">
        <v>1150</v>
      </c>
      <c r="B762" s="139">
        <f t="shared" si="12"/>
        <v>8.160319718309859</v>
      </c>
      <c r="C762" s="148" t="s">
        <v>1250</v>
      </c>
      <c r="D762" s="139">
        <v>8.160319718309859</v>
      </c>
      <c r="E762" s="144" t="s">
        <v>1250</v>
      </c>
    </row>
    <row r="763" spans="1:5" s="15" customFormat="1" ht="17.850000000000001" hidden="1" customHeight="1" outlineLevel="5">
      <c r="A763" s="70" t="s">
        <v>1151</v>
      </c>
      <c r="B763" s="139">
        <f t="shared" si="12"/>
        <v>8.160319718309859</v>
      </c>
      <c r="C763" s="148" t="s">
        <v>1250</v>
      </c>
      <c r="D763" s="139">
        <v>8.160319718309859</v>
      </c>
      <c r="E763" s="144" t="s">
        <v>1250</v>
      </c>
    </row>
    <row r="764" spans="1:5" s="15" customFormat="1" ht="17.850000000000001" hidden="1" customHeight="1" outlineLevel="5">
      <c r="A764" s="70" t="s">
        <v>1152</v>
      </c>
      <c r="B764" s="139">
        <f t="shared" si="12"/>
        <v>8.160319718309859</v>
      </c>
      <c r="C764" s="148" t="s">
        <v>1250</v>
      </c>
      <c r="D764" s="139">
        <v>8.160319718309859</v>
      </c>
      <c r="E764" s="144" t="s">
        <v>1250</v>
      </c>
    </row>
    <row r="765" spans="1:5" s="15" customFormat="1" ht="17.850000000000001" hidden="1" customHeight="1" outlineLevel="5">
      <c r="A765" s="70" t="s">
        <v>1153</v>
      </c>
      <c r="B765" s="139">
        <f t="shared" si="12"/>
        <v>8.160319718309859</v>
      </c>
      <c r="C765" s="148" t="s">
        <v>1250</v>
      </c>
      <c r="D765" s="139">
        <v>8.160319718309859</v>
      </c>
      <c r="E765" s="144" t="s">
        <v>1250</v>
      </c>
    </row>
    <row r="766" spans="1:5" s="15" customFormat="1" ht="17.850000000000001" hidden="1" customHeight="1" outlineLevel="5">
      <c r="A766" s="70" t="s">
        <v>1154</v>
      </c>
      <c r="B766" s="139">
        <f t="shared" si="12"/>
        <v>8.160319718309859</v>
      </c>
      <c r="C766" s="148" t="s">
        <v>1250</v>
      </c>
      <c r="D766" s="139">
        <v>8.160319718309859</v>
      </c>
      <c r="E766" s="144" t="s">
        <v>1250</v>
      </c>
    </row>
    <row r="767" spans="1:5" s="15" customFormat="1" ht="17.850000000000001" hidden="1" customHeight="1" outlineLevel="5">
      <c r="A767" s="70" t="s">
        <v>1155</v>
      </c>
      <c r="B767" s="139">
        <f t="shared" si="12"/>
        <v>8.160319718309859</v>
      </c>
      <c r="C767" s="148" t="s">
        <v>1250</v>
      </c>
      <c r="D767" s="139">
        <v>8.160319718309859</v>
      </c>
      <c r="E767" s="144" t="s">
        <v>1250</v>
      </c>
    </row>
    <row r="768" spans="1:5" s="16" customFormat="1" ht="16.350000000000001" hidden="1" customHeight="1" outlineLevel="4" collapsed="1">
      <c r="A768" s="70" t="s">
        <v>1156</v>
      </c>
      <c r="B768" s="139">
        <f>0*(1.3/71)</f>
        <v>0</v>
      </c>
      <c r="C768" s="148" t="s">
        <v>1250</v>
      </c>
      <c r="D768" s="139">
        <v>0</v>
      </c>
      <c r="E768" s="144"/>
    </row>
    <row r="769" spans="1:5" s="15" customFormat="1" ht="17.850000000000001" hidden="1" customHeight="1" outlineLevel="5">
      <c r="A769" s="70" t="s">
        <v>1157</v>
      </c>
      <c r="B769" s="139">
        <f>714.818*(1.3/71)</f>
        <v>13.088216901408453</v>
      </c>
      <c r="C769" s="148" t="s">
        <v>1250</v>
      </c>
      <c r="D769" s="139">
        <v>13.088216901408453</v>
      </c>
      <c r="E769" s="144" t="s">
        <v>1250</v>
      </c>
    </row>
    <row r="770" spans="1:5" s="15" customFormat="1" ht="32.85" hidden="1" customHeight="1" outlineLevel="5">
      <c r="A770" s="70" t="s">
        <v>1158</v>
      </c>
      <c r="B770" s="139">
        <f>1000.272*(1.3/71)</f>
        <v>18.314839436619721</v>
      </c>
      <c r="C770" s="148" t="s">
        <v>1250</v>
      </c>
      <c r="D770" s="139">
        <v>18.314839436619721</v>
      </c>
      <c r="E770" s="144" t="s">
        <v>1250</v>
      </c>
    </row>
    <row r="771" spans="1:5" s="15" customFormat="1" ht="17.850000000000001" hidden="1" customHeight="1" outlineLevel="5">
      <c r="A771" s="70" t="s">
        <v>1159</v>
      </c>
      <c r="B771" s="139">
        <f>1011.296*(1.3/71)</f>
        <v>18.51668732394366</v>
      </c>
      <c r="C771" s="148" t="s">
        <v>1250</v>
      </c>
      <c r="D771" s="139">
        <v>18.51668732394366</v>
      </c>
      <c r="E771" s="144" t="s">
        <v>1250</v>
      </c>
    </row>
    <row r="772" spans="1:5" s="16" customFormat="1" ht="16.350000000000001" hidden="1" customHeight="1" outlineLevel="4" collapsed="1">
      <c r="A772" s="70" t="s">
        <v>1160</v>
      </c>
      <c r="B772" s="139">
        <f>0*(1.3/71)</f>
        <v>0</v>
      </c>
      <c r="C772" s="148" t="s">
        <v>1250</v>
      </c>
      <c r="D772" s="139">
        <v>0</v>
      </c>
      <c r="E772" s="144"/>
    </row>
    <row r="773" spans="1:5" s="15" customFormat="1" ht="17.850000000000001" hidden="1" customHeight="1" outlineLevel="5">
      <c r="A773" s="70" t="s">
        <v>1161</v>
      </c>
      <c r="B773" s="139">
        <f t="shared" ref="B773:B779" si="13">238.498*(1.3/71)</f>
        <v>4.3668647887323946</v>
      </c>
      <c r="C773" s="148" t="s">
        <v>1250</v>
      </c>
      <c r="D773" s="139">
        <v>4.3668647887323946</v>
      </c>
      <c r="E773" s="144" t="s">
        <v>1250</v>
      </c>
    </row>
    <row r="774" spans="1:5" s="15" customFormat="1" ht="17.850000000000001" hidden="1" customHeight="1" outlineLevel="5">
      <c r="A774" s="70" t="s">
        <v>1162</v>
      </c>
      <c r="B774" s="139">
        <f t="shared" si="13"/>
        <v>4.3668647887323946</v>
      </c>
      <c r="C774" s="148" t="s">
        <v>1250</v>
      </c>
      <c r="D774" s="139">
        <v>4.3668647887323946</v>
      </c>
      <c r="E774" s="144" t="s">
        <v>1250</v>
      </c>
    </row>
    <row r="775" spans="1:5" s="15" customFormat="1" ht="17.850000000000001" hidden="1" customHeight="1" outlineLevel="5">
      <c r="A775" s="70" t="s">
        <v>1163</v>
      </c>
      <c r="B775" s="139">
        <f t="shared" si="13"/>
        <v>4.3668647887323946</v>
      </c>
      <c r="C775" s="148" t="s">
        <v>1250</v>
      </c>
      <c r="D775" s="139">
        <v>4.3668647887323946</v>
      </c>
      <c r="E775" s="144" t="s">
        <v>1250</v>
      </c>
    </row>
    <row r="776" spans="1:5" s="15" customFormat="1" ht="17.850000000000001" hidden="1" customHeight="1" outlineLevel="5">
      <c r="A776" s="70" t="s">
        <v>1164</v>
      </c>
      <c r="B776" s="139">
        <f t="shared" si="13"/>
        <v>4.3668647887323946</v>
      </c>
      <c r="C776" s="148" t="s">
        <v>1250</v>
      </c>
      <c r="D776" s="139">
        <v>4.3668647887323946</v>
      </c>
      <c r="E776" s="144" t="s">
        <v>1250</v>
      </c>
    </row>
    <row r="777" spans="1:5" s="15" customFormat="1" ht="17.850000000000001" hidden="1" customHeight="1" outlineLevel="5">
      <c r="A777" s="70" t="s">
        <v>1165</v>
      </c>
      <c r="B777" s="139">
        <f t="shared" si="13"/>
        <v>4.3668647887323946</v>
      </c>
      <c r="C777" s="148" t="s">
        <v>1250</v>
      </c>
      <c r="D777" s="139">
        <v>4.3668647887323946</v>
      </c>
      <c r="E777" s="144" t="s">
        <v>1250</v>
      </c>
    </row>
    <row r="778" spans="1:5" s="15" customFormat="1" ht="17.850000000000001" hidden="1" customHeight="1" outlineLevel="5">
      <c r="A778" s="70" t="s">
        <v>1166</v>
      </c>
      <c r="B778" s="139">
        <f t="shared" si="13"/>
        <v>4.3668647887323946</v>
      </c>
      <c r="C778" s="148" t="s">
        <v>1250</v>
      </c>
      <c r="D778" s="139">
        <v>4.3668647887323946</v>
      </c>
      <c r="E778" s="144" t="s">
        <v>1250</v>
      </c>
    </row>
    <row r="779" spans="1:5" s="15" customFormat="1" ht="17.850000000000001" hidden="1" customHeight="1" outlineLevel="5">
      <c r="A779" s="70" t="s">
        <v>1167</v>
      </c>
      <c r="B779" s="139">
        <f t="shared" si="13"/>
        <v>4.3668647887323946</v>
      </c>
      <c r="C779" s="148" t="s">
        <v>1250</v>
      </c>
      <c r="D779" s="139">
        <v>4.3668647887323946</v>
      </c>
      <c r="E779" s="144" t="s">
        <v>1250</v>
      </c>
    </row>
    <row r="780" spans="1:5" s="16" customFormat="1" ht="16.350000000000001" hidden="1" customHeight="1" outlineLevel="3" collapsed="1">
      <c r="A780" s="22" t="s">
        <v>1168</v>
      </c>
      <c r="B780" s="21"/>
      <c r="C780" s="21" t="s">
        <v>1250</v>
      </c>
      <c r="D780" s="21"/>
      <c r="E780" s="141"/>
    </row>
    <row r="781" spans="1:5" s="15" customFormat="1" ht="32.85" hidden="1" customHeight="1" outlineLevel="4">
      <c r="A781" s="70" t="s">
        <v>1169</v>
      </c>
      <c r="B781" s="139">
        <f>753.48*(1.3/71)</f>
        <v>13.796112676056339</v>
      </c>
      <c r="C781" s="148" t="s">
        <v>1250</v>
      </c>
      <c r="D781" s="139">
        <v>13.796112676056339</v>
      </c>
      <c r="E781" s="144" t="s">
        <v>1250</v>
      </c>
    </row>
    <row r="782" spans="1:5" s="15" customFormat="1" ht="32.85" hidden="1" customHeight="1" outlineLevel="4">
      <c r="A782" s="70" t="s">
        <v>1170</v>
      </c>
      <c r="B782" s="139">
        <f>753.48*(1.3/71)</f>
        <v>13.796112676056339</v>
      </c>
      <c r="C782" s="148" t="s">
        <v>1250</v>
      </c>
      <c r="D782" s="139">
        <v>13.796112676056339</v>
      </c>
      <c r="E782" s="144" t="s">
        <v>1250</v>
      </c>
    </row>
    <row r="783" spans="1:5" s="15" customFormat="1" ht="32.85" hidden="1" customHeight="1" outlineLevel="4">
      <c r="A783" s="70" t="s">
        <v>1171</v>
      </c>
      <c r="B783" s="139">
        <f>753.48*(1.3/71)</f>
        <v>13.796112676056339</v>
      </c>
      <c r="C783" s="148" t="s">
        <v>1250</v>
      </c>
      <c r="D783" s="139">
        <v>13.796112676056339</v>
      </c>
      <c r="E783" s="144" t="s">
        <v>1250</v>
      </c>
    </row>
    <row r="784" spans="1:5" s="16" customFormat="1" ht="16.350000000000001" hidden="1" customHeight="1" outlineLevel="3" collapsed="1">
      <c r="A784" s="22" t="s">
        <v>1172</v>
      </c>
      <c r="B784" s="21"/>
      <c r="C784" s="21" t="s">
        <v>1250</v>
      </c>
      <c r="D784" s="21"/>
      <c r="E784" s="143"/>
    </row>
    <row r="785" spans="1:5" s="15" customFormat="1" ht="17.850000000000001" hidden="1" customHeight="1" outlineLevel="4">
      <c r="A785" s="70" t="s">
        <v>1173</v>
      </c>
      <c r="B785" s="139">
        <f t="shared" ref="B785:B795" si="14">611.247*(1.3/71)</f>
        <v>11.191846478873241</v>
      </c>
      <c r="C785" s="148" t="s">
        <v>1250</v>
      </c>
      <c r="D785" s="139">
        <v>11.19184647887324</v>
      </c>
      <c r="E785" s="144" t="s">
        <v>1250</v>
      </c>
    </row>
    <row r="786" spans="1:5" s="15" customFormat="1" ht="17.850000000000001" hidden="1" customHeight="1" outlineLevel="4">
      <c r="A786" s="70" t="s">
        <v>1174</v>
      </c>
      <c r="B786" s="139">
        <f t="shared" si="14"/>
        <v>11.191846478873241</v>
      </c>
      <c r="C786" s="148" t="s">
        <v>1250</v>
      </c>
      <c r="D786" s="139">
        <v>11.19184647887324</v>
      </c>
      <c r="E786" s="144" t="s">
        <v>1250</v>
      </c>
    </row>
    <row r="787" spans="1:5" s="15" customFormat="1" ht="17.850000000000001" hidden="1" customHeight="1" outlineLevel="4">
      <c r="A787" s="70" t="s">
        <v>1175</v>
      </c>
      <c r="B787" s="139">
        <f t="shared" si="14"/>
        <v>11.191846478873241</v>
      </c>
      <c r="C787" s="148" t="s">
        <v>1250</v>
      </c>
      <c r="D787" s="139">
        <v>11.19184647887324</v>
      </c>
      <c r="E787" s="144" t="s">
        <v>1250</v>
      </c>
    </row>
    <row r="788" spans="1:5" s="15" customFormat="1" ht="17.850000000000001" hidden="1" customHeight="1" outlineLevel="4">
      <c r="A788" s="70" t="s">
        <v>1176</v>
      </c>
      <c r="B788" s="139">
        <f t="shared" si="14"/>
        <v>11.191846478873241</v>
      </c>
      <c r="C788" s="148" t="s">
        <v>1250</v>
      </c>
      <c r="D788" s="139">
        <v>11.19184647887324</v>
      </c>
      <c r="E788" s="144" t="s">
        <v>1250</v>
      </c>
    </row>
    <row r="789" spans="1:5" s="15" customFormat="1" ht="17.850000000000001" hidden="1" customHeight="1" outlineLevel="4">
      <c r="A789" s="70" t="s">
        <v>1177</v>
      </c>
      <c r="B789" s="139">
        <f t="shared" si="14"/>
        <v>11.191846478873241</v>
      </c>
      <c r="C789" s="148" t="s">
        <v>1250</v>
      </c>
      <c r="D789" s="139">
        <v>11.19184647887324</v>
      </c>
      <c r="E789" s="144" t="s">
        <v>1250</v>
      </c>
    </row>
    <row r="790" spans="1:5" s="15" customFormat="1" ht="17.850000000000001" hidden="1" customHeight="1" outlineLevel="4">
      <c r="A790" s="70" t="s">
        <v>1178</v>
      </c>
      <c r="B790" s="139">
        <f t="shared" si="14"/>
        <v>11.191846478873241</v>
      </c>
      <c r="C790" s="148" t="s">
        <v>1250</v>
      </c>
      <c r="D790" s="139">
        <v>11.19184647887324</v>
      </c>
      <c r="E790" s="144" t="s">
        <v>1250</v>
      </c>
    </row>
    <row r="791" spans="1:5" s="15" customFormat="1" ht="17.850000000000001" hidden="1" customHeight="1" outlineLevel="4">
      <c r="A791" s="70" t="s">
        <v>1179</v>
      </c>
      <c r="B791" s="139">
        <f t="shared" si="14"/>
        <v>11.191846478873241</v>
      </c>
      <c r="C791" s="148" t="s">
        <v>1250</v>
      </c>
      <c r="D791" s="139">
        <v>11.19184647887324</v>
      </c>
      <c r="E791" s="144" t="s">
        <v>1250</v>
      </c>
    </row>
    <row r="792" spans="1:5" s="15" customFormat="1" ht="17.850000000000001" hidden="1" customHeight="1" outlineLevel="4">
      <c r="A792" s="70" t="s">
        <v>1180</v>
      </c>
      <c r="B792" s="139">
        <f t="shared" si="14"/>
        <v>11.191846478873241</v>
      </c>
      <c r="C792" s="148" t="s">
        <v>1250</v>
      </c>
      <c r="D792" s="139">
        <v>11.19184647887324</v>
      </c>
      <c r="E792" s="144" t="s">
        <v>1250</v>
      </c>
    </row>
    <row r="793" spans="1:5" s="15" customFormat="1" ht="17.850000000000001" hidden="1" customHeight="1" outlineLevel="4">
      <c r="A793" s="70" t="s">
        <v>1181</v>
      </c>
      <c r="B793" s="139">
        <f t="shared" si="14"/>
        <v>11.191846478873241</v>
      </c>
      <c r="C793" s="148" t="s">
        <v>1250</v>
      </c>
      <c r="D793" s="139">
        <v>11.19184647887324</v>
      </c>
      <c r="E793" s="144" t="s">
        <v>1250</v>
      </c>
    </row>
    <row r="794" spans="1:5" s="15" customFormat="1" ht="17.850000000000001" hidden="1" customHeight="1" outlineLevel="4">
      <c r="A794" s="70" t="s">
        <v>1182</v>
      </c>
      <c r="B794" s="139">
        <f t="shared" si="14"/>
        <v>11.191846478873241</v>
      </c>
      <c r="C794" s="148" t="s">
        <v>1250</v>
      </c>
      <c r="D794" s="139">
        <v>11.19184647887324</v>
      </c>
      <c r="E794" s="144" t="s">
        <v>1250</v>
      </c>
    </row>
    <row r="795" spans="1:5" s="15" customFormat="1" ht="17.850000000000001" hidden="1" customHeight="1" outlineLevel="4">
      <c r="A795" s="70" t="s">
        <v>1183</v>
      </c>
      <c r="B795" s="139">
        <f t="shared" si="14"/>
        <v>11.191846478873241</v>
      </c>
      <c r="C795" s="148" t="s">
        <v>1250</v>
      </c>
      <c r="D795" s="139">
        <v>11.19184647887324</v>
      </c>
      <c r="E795" s="144" t="s">
        <v>1250</v>
      </c>
    </row>
    <row r="796" spans="1:5" s="15" customFormat="1" ht="17.850000000000001" hidden="1" customHeight="1" outlineLevel="4">
      <c r="A796" s="70" t="s">
        <v>1184</v>
      </c>
      <c r="B796" s="139">
        <f t="shared" ref="B796:B802" si="15">693.537*(1.3/71)</f>
        <v>12.698564788732394</v>
      </c>
      <c r="C796" s="148" t="s">
        <v>1250</v>
      </c>
      <c r="D796" s="139">
        <v>12.698564788732394</v>
      </c>
      <c r="E796" s="144" t="s">
        <v>1250</v>
      </c>
    </row>
    <row r="797" spans="1:5" s="15" customFormat="1" ht="17.850000000000001" hidden="1" customHeight="1" outlineLevel="4">
      <c r="A797" s="70" t="s">
        <v>1185</v>
      </c>
      <c r="B797" s="139">
        <f t="shared" si="15"/>
        <v>12.698564788732394</v>
      </c>
      <c r="C797" s="148" t="s">
        <v>1250</v>
      </c>
      <c r="D797" s="139">
        <v>12.698564788732394</v>
      </c>
      <c r="E797" s="144" t="s">
        <v>1250</v>
      </c>
    </row>
    <row r="798" spans="1:5" s="15" customFormat="1" ht="17.850000000000001" hidden="1" customHeight="1" outlineLevel="4">
      <c r="A798" s="70" t="s">
        <v>1186</v>
      </c>
      <c r="B798" s="139">
        <f t="shared" si="15"/>
        <v>12.698564788732394</v>
      </c>
      <c r="C798" s="148" t="s">
        <v>1250</v>
      </c>
      <c r="D798" s="139">
        <v>12.698564788732394</v>
      </c>
      <c r="E798" s="144" t="s">
        <v>1250</v>
      </c>
    </row>
    <row r="799" spans="1:5" s="15" customFormat="1" ht="32.85" hidden="1" customHeight="1" outlineLevel="4">
      <c r="A799" s="70" t="s">
        <v>1187</v>
      </c>
      <c r="B799" s="139">
        <f t="shared" si="15"/>
        <v>12.698564788732394</v>
      </c>
      <c r="C799" s="148" t="s">
        <v>1250</v>
      </c>
      <c r="D799" s="139">
        <v>12.698564788732394</v>
      </c>
      <c r="E799" s="144" t="s">
        <v>1250</v>
      </c>
    </row>
    <row r="800" spans="1:5" s="15" customFormat="1" ht="17.850000000000001" hidden="1" customHeight="1" outlineLevel="4">
      <c r="A800" s="70" t="s">
        <v>1188</v>
      </c>
      <c r="B800" s="139">
        <f t="shared" si="15"/>
        <v>12.698564788732394</v>
      </c>
      <c r="C800" s="148" t="s">
        <v>1250</v>
      </c>
      <c r="D800" s="139">
        <v>12.698564788732394</v>
      </c>
      <c r="E800" s="144" t="s">
        <v>1250</v>
      </c>
    </row>
    <row r="801" spans="1:5" s="15" customFormat="1" ht="32.85" hidden="1" customHeight="1" outlineLevel="4">
      <c r="A801" s="70" t="s">
        <v>1189</v>
      </c>
      <c r="B801" s="139">
        <f t="shared" si="15"/>
        <v>12.698564788732394</v>
      </c>
      <c r="C801" s="148" t="s">
        <v>1250</v>
      </c>
      <c r="D801" s="139">
        <v>12.698564788732394</v>
      </c>
      <c r="E801" s="144" t="s">
        <v>1250</v>
      </c>
    </row>
    <row r="802" spans="1:5" s="15" customFormat="1" ht="17.850000000000001" hidden="1" customHeight="1" outlineLevel="4">
      <c r="A802" s="70" t="s">
        <v>1190</v>
      </c>
      <c r="B802" s="139">
        <f t="shared" si="15"/>
        <v>12.698564788732394</v>
      </c>
      <c r="C802" s="148" t="s">
        <v>1250</v>
      </c>
      <c r="D802" s="139">
        <v>12.698564788732394</v>
      </c>
      <c r="E802" s="144" t="s">
        <v>1250</v>
      </c>
    </row>
    <row r="803" spans="1:5" s="15" customFormat="1" ht="17.850000000000001" hidden="1" customHeight="1" outlineLevel="4">
      <c r="A803" s="70" t="s">
        <v>1191</v>
      </c>
      <c r="B803" s="139">
        <f>391.586*(1.3/71)</f>
        <v>7.169884507042255</v>
      </c>
      <c r="C803" s="148" t="s">
        <v>1250</v>
      </c>
      <c r="D803" s="139">
        <v>7.169884507042255</v>
      </c>
      <c r="E803" s="144" t="s">
        <v>1250</v>
      </c>
    </row>
    <row r="804" spans="1:5" s="15" customFormat="1" ht="17.850000000000001" hidden="1" customHeight="1" outlineLevel="4">
      <c r="A804" s="70" t="s">
        <v>1192</v>
      </c>
      <c r="B804" s="139">
        <f>391.586*(1.3/71)</f>
        <v>7.169884507042255</v>
      </c>
      <c r="C804" s="148" t="s">
        <v>1250</v>
      </c>
      <c r="D804" s="139">
        <v>7.169884507042255</v>
      </c>
      <c r="E804" s="144" t="s">
        <v>1250</v>
      </c>
    </row>
    <row r="805" spans="1:5" s="15" customFormat="1" ht="32.85" hidden="1" customHeight="1" outlineLevel="4">
      <c r="A805" s="70" t="s">
        <v>1193</v>
      </c>
      <c r="B805" s="139">
        <f>505.193*(1.3/71)</f>
        <v>9.2500126760563379</v>
      </c>
      <c r="C805" s="148"/>
      <c r="D805" s="139">
        <v>9.2500126760563397</v>
      </c>
      <c r="E805" s="144" t="s">
        <v>1250</v>
      </c>
    </row>
    <row r="806" spans="1:5" s="15" customFormat="1" ht="32.85" hidden="1" customHeight="1" outlineLevel="4">
      <c r="A806" s="70" t="s">
        <v>1194</v>
      </c>
      <c r="B806" s="139">
        <f>505.193*(1.3/71)</f>
        <v>9.2500126760563379</v>
      </c>
      <c r="C806" s="148" t="s">
        <v>1250</v>
      </c>
      <c r="D806" s="139">
        <v>9.2500126760563397</v>
      </c>
      <c r="E806" s="144" t="s">
        <v>1250</v>
      </c>
    </row>
    <row r="807" spans="1:5" s="15" customFormat="1" ht="32.85" hidden="1" customHeight="1" outlineLevel="4">
      <c r="A807" s="70" t="s">
        <v>1195</v>
      </c>
      <c r="B807" s="139">
        <f>505.193*(1.3/71)</f>
        <v>9.2500126760563379</v>
      </c>
      <c r="C807" s="148" t="s">
        <v>1250</v>
      </c>
      <c r="D807" s="139">
        <v>9.2500126760563397</v>
      </c>
      <c r="E807" s="144" t="s">
        <v>1250</v>
      </c>
    </row>
    <row r="808" spans="1:5" s="15" customFormat="1" ht="17.850000000000001" hidden="1" customHeight="1" outlineLevel="4">
      <c r="A808" s="70" t="s">
        <v>1196</v>
      </c>
      <c r="B808" s="139">
        <f>257.348*(1.3/71)</f>
        <v>4.7120056338028169</v>
      </c>
      <c r="C808" s="148" t="s">
        <v>1250</v>
      </c>
      <c r="D808" s="139">
        <v>4.7120056338028178</v>
      </c>
      <c r="E808" s="144" t="s">
        <v>1250</v>
      </c>
    </row>
    <row r="809" spans="1:5" s="15" customFormat="1" ht="17.850000000000001" hidden="1" customHeight="1" outlineLevel="4">
      <c r="A809" s="70" t="s">
        <v>1197</v>
      </c>
      <c r="B809" s="139">
        <f>257.348*(1.3/71)</f>
        <v>4.7120056338028169</v>
      </c>
      <c r="C809" s="148" t="s">
        <v>1250</v>
      </c>
      <c r="D809" s="139">
        <v>4.7120056338028178</v>
      </c>
      <c r="E809" s="144" t="s">
        <v>1250</v>
      </c>
    </row>
    <row r="810" spans="1:5" s="15" customFormat="1" ht="17.850000000000001" hidden="1" customHeight="1" outlineLevel="4">
      <c r="A810" s="70" t="s">
        <v>1198</v>
      </c>
      <c r="B810" s="139">
        <f>257.348*(1.3/71)</f>
        <v>4.7120056338028169</v>
      </c>
      <c r="C810" s="148" t="s">
        <v>1250</v>
      </c>
      <c r="D810" s="139">
        <v>4.7120056338028178</v>
      </c>
      <c r="E810" s="144" t="s">
        <v>1250</v>
      </c>
    </row>
    <row r="811" spans="1:5" s="15" customFormat="1" ht="17.850000000000001" hidden="1" customHeight="1" outlineLevel="4">
      <c r="A811" s="70" t="s">
        <v>1199</v>
      </c>
      <c r="B811" s="139">
        <f>257.348*(1.3/71)</f>
        <v>4.7120056338028169</v>
      </c>
      <c r="C811" s="148" t="s">
        <v>1250</v>
      </c>
      <c r="D811" s="139">
        <v>4.7120056338028178</v>
      </c>
      <c r="E811" s="144" t="s">
        <v>1250</v>
      </c>
    </row>
    <row r="812" spans="1:5" s="15" customFormat="1" ht="17.850000000000001" hidden="1" customHeight="1" outlineLevel="4">
      <c r="A812" s="70" t="s">
        <v>1200</v>
      </c>
      <c r="B812" s="139">
        <f>257.348*(1.3/71)</f>
        <v>4.7120056338028169</v>
      </c>
      <c r="C812" s="148" t="s">
        <v>1250</v>
      </c>
      <c r="D812" s="139">
        <v>4.7120056338028178</v>
      </c>
      <c r="E812" s="144" t="s">
        <v>1250</v>
      </c>
    </row>
    <row r="813" spans="1:5" s="15" customFormat="1" ht="17.850000000000001" hidden="1" customHeight="1" outlineLevel="4">
      <c r="A813" s="70" t="s">
        <v>1201</v>
      </c>
      <c r="B813" s="139">
        <f>517.478*(1.3/71)</f>
        <v>9.4749492957746497</v>
      </c>
      <c r="C813" s="148" t="s">
        <v>1250</v>
      </c>
      <c r="D813" s="139">
        <v>9.4749492957746497</v>
      </c>
      <c r="E813" s="144" t="s">
        <v>1250</v>
      </c>
    </row>
    <row r="814" spans="1:5" s="15" customFormat="1" ht="32.85" hidden="1" customHeight="1" outlineLevel="4">
      <c r="A814" s="70" t="s">
        <v>1202</v>
      </c>
      <c r="B814" s="139">
        <f>517.478*(1.3/71)</f>
        <v>9.4749492957746497</v>
      </c>
      <c r="C814" s="148" t="s">
        <v>1250</v>
      </c>
      <c r="D814" s="139">
        <v>9.4749492957746497</v>
      </c>
      <c r="E814" s="144" t="s">
        <v>1250</v>
      </c>
    </row>
    <row r="815" spans="1:5" s="15" customFormat="1" ht="32.85" hidden="1" customHeight="1" outlineLevel="4">
      <c r="A815" s="70" t="s">
        <v>1203</v>
      </c>
      <c r="B815" s="139">
        <f>517.478*(1.3/71)</f>
        <v>9.4749492957746497</v>
      </c>
      <c r="C815" s="148" t="s">
        <v>1250</v>
      </c>
      <c r="D815" s="139">
        <v>9.4749492957746497</v>
      </c>
      <c r="E815" s="144" t="s">
        <v>1250</v>
      </c>
    </row>
    <row r="816" spans="1:5" s="15" customFormat="1" ht="17.850000000000001" hidden="1" customHeight="1" outlineLevel="4">
      <c r="A816" s="70" t="s">
        <v>1204</v>
      </c>
      <c r="B816" s="139">
        <f>517.478*(1.3/71)</f>
        <v>9.4749492957746497</v>
      </c>
      <c r="C816" s="148" t="s">
        <v>1250</v>
      </c>
      <c r="D816" s="139">
        <v>9.4749492957746497</v>
      </c>
      <c r="E816" s="144" t="s">
        <v>1250</v>
      </c>
    </row>
    <row r="817" spans="1:5" s="15" customFormat="1" ht="17.850000000000001" hidden="1" customHeight="1" outlineLevel="4">
      <c r="A817" s="70" t="s">
        <v>1205</v>
      </c>
      <c r="B817" s="139">
        <f>517.478*(1.3/71)</f>
        <v>9.4749492957746497</v>
      </c>
      <c r="C817" s="148" t="s">
        <v>1250</v>
      </c>
      <c r="D817" s="139">
        <v>9.4749492957746497</v>
      </c>
      <c r="E817" s="144" t="s">
        <v>1250</v>
      </c>
    </row>
    <row r="818" spans="1:5" s="15" customFormat="1" ht="17.850000000000001" hidden="1" customHeight="1" outlineLevel="4">
      <c r="A818" s="70" t="s">
        <v>1206</v>
      </c>
      <c r="B818" s="139">
        <f>357.396*(1.3/71)</f>
        <v>6.5438704225352113</v>
      </c>
      <c r="C818" s="148"/>
      <c r="D818" s="139">
        <v>6.5438704225352122</v>
      </c>
      <c r="E818" s="144" t="s">
        <v>1250</v>
      </c>
    </row>
    <row r="819" spans="1:5" s="15" customFormat="1" ht="17.850000000000001" hidden="1" customHeight="1" outlineLevel="4">
      <c r="A819" s="70" t="s">
        <v>1207</v>
      </c>
      <c r="B819" s="139">
        <f>357.396*(1.3/71)</f>
        <v>6.5438704225352113</v>
      </c>
      <c r="C819" s="148" t="s">
        <v>1250</v>
      </c>
      <c r="D819" s="139">
        <v>6.5438704225352122</v>
      </c>
      <c r="E819" s="144" t="s">
        <v>1250</v>
      </c>
    </row>
    <row r="820" spans="1:5" s="15" customFormat="1" ht="17.850000000000001" hidden="1" customHeight="1" outlineLevel="4">
      <c r="A820" s="70" t="s">
        <v>1208</v>
      </c>
      <c r="B820" s="139">
        <f>307.099*(1.3/71)</f>
        <v>5.6229394366197178</v>
      </c>
      <c r="C820" s="148" t="s">
        <v>1250</v>
      </c>
      <c r="D820" s="139">
        <v>5.6229394366197187</v>
      </c>
      <c r="E820" s="144" t="s">
        <v>1250</v>
      </c>
    </row>
    <row r="821" spans="1:5" s="15" customFormat="1" ht="17.850000000000001" hidden="1" customHeight="1" outlineLevel="4">
      <c r="A821" s="70" t="s">
        <v>1209</v>
      </c>
      <c r="B821" s="139">
        <f>307.099*(1.3/71)</f>
        <v>5.6229394366197178</v>
      </c>
      <c r="C821" s="148" t="s">
        <v>1250</v>
      </c>
      <c r="D821" s="139">
        <v>5.6229394366197187</v>
      </c>
      <c r="E821" s="144" t="s">
        <v>1250</v>
      </c>
    </row>
    <row r="822" spans="1:5" s="15" customFormat="1" ht="17.850000000000001" hidden="1" customHeight="1" outlineLevel="4">
      <c r="A822" s="70" t="s">
        <v>1210</v>
      </c>
      <c r="B822" s="139">
        <f>307.099*(1.3/71)</f>
        <v>5.6229394366197178</v>
      </c>
      <c r="C822" s="148" t="s">
        <v>1250</v>
      </c>
      <c r="D822" s="139">
        <v>5.6229394366197187</v>
      </c>
      <c r="E822" s="144" t="s">
        <v>1250</v>
      </c>
    </row>
    <row r="823" spans="1:5" s="15" customFormat="1" ht="17.850000000000001" hidden="1" customHeight="1" outlineLevel="4">
      <c r="A823" s="70" t="s">
        <v>1211</v>
      </c>
      <c r="B823" s="139">
        <f>307.099*(1.3/71)</f>
        <v>5.6229394366197178</v>
      </c>
      <c r="C823" s="148" t="s">
        <v>1250</v>
      </c>
      <c r="D823" s="139">
        <v>5.6229394366197187</v>
      </c>
      <c r="E823" s="144" t="s">
        <v>1250</v>
      </c>
    </row>
    <row r="824" spans="1:5" s="15" customFormat="1" ht="17.850000000000001" hidden="1" customHeight="1" outlineLevel="4">
      <c r="A824" s="70" t="s">
        <v>1212</v>
      </c>
      <c r="B824" s="139">
        <f>300.664*(1.3/71)</f>
        <v>5.5051154929577466</v>
      </c>
      <c r="C824" s="148" t="s">
        <v>1250</v>
      </c>
      <c r="D824" s="139">
        <v>5.5051154929577466</v>
      </c>
      <c r="E824" s="144" t="s">
        <v>1250</v>
      </c>
    </row>
    <row r="825" spans="1:5" s="15" customFormat="1" ht="17.850000000000001" hidden="1" customHeight="1" outlineLevel="4">
      <c r="A825" s="70" t="s">
        <v>1213</v>
      </c>
      <c r="B825" s="139">
        <f>251.979*(1.3/71)</f>
        <v>4.6137000000000006</v>
      </c>
      <c r="C825" s="148" t="s">
        <v>1250</v>
      </c>
      <c r="D825" s="139">
        <v>4.6137000000000006</v>
      </c>
      <c r="E825" s="144" t="s">
        <v>1250</v>
      </c>
    </row>
    <row r="826" spans="1:5" s="15" customFormat="1" ht="32.85" hidden="1" customHeight="1" outlineLevel="4">
      <c r="A826" s="70" t="s">
        <v>1214</v>
      </c>
      <c r="B826" s="139">
        <f>251.979*(1.3/71)</f>
        <v>4.6137000000000006</v>
      </c>
      <c r="C826" s="148" t="s">
        <v>1250</v>
      </c>
      <c r="D826" s="139">
        <v>4.6137000000000006</v>
      </c>
      <c r="E826" s="144" t="s">
        <v>1250</v>
      </c>
    </row>
    <row r="827" spans="1:5" s="15" customFormat="1" ht="17.850000000000001" hidden="1" customHeight="1" outlineLevel="4">
      <c r="A827" s="70" t="s">
        <v>1215</v>
      </c>
      <c r="B827" s="139">
        <f>333.125*(1.3/71)</f>
        <v>6.0994718309859151</v>
      </c>
      <c r="C827" s="148" t="s">
        <v>1250</v>
      </c>
      <c r="D827" s="139">
        <v>6.0994718309859151</v>
      </c>
      <c r="E827" s="144" t="s">
        <v>1250</v>
      </c>
    </row>
    <row r="828" spans="1:5" s="15" customFormat="1" ht="17.850000000000001" hidden="1" customHeight="1" outlineLevel="4">
      <c r="A828" s="70" t="s">
        <v>1216</v>
      </c>
      <c r="B828" s="139">
        <f>333.125*(1.3/71)</f>
        <v>6.0994718309859151</v>
      </c>
      <c r="C828" s="148" t="s">
        <v>1250</v>
      </c>
      <c r="D828" s="139">
        <v>6.0994718309859151</v>
      </c>
      <c r="E828" s="144" t="s">
        <v>1250</v>
      </c>
    </row>
    <row r="829" spans="1:5" s="15" customFormat="1" ht="17.850000000000001" hidden="1" customHeight="1" outlineLevel="4">
      <c r="A829" s="70" t="s">
        <v>1217</v>
      </c>
      <c r="B829" s="139">
        <f>302.354*(1.3/71)</f>
        <v>5.5360591549295783</v>
      </c>
      <c r="C829" s="148" t="s">
        <v>1250</v>
      </c>
      <c r="D829" s="139">
        <v>5.5360591549295783</v>
      </c>
      <c r="E829" s="144" t="s">
        <v>1250</v>
      </c>
    </row>
    <row r="830" spans="1:5" s="15" customFormat="1" ht="17.850000000000001" hidden="1" customHeight="1" outlineLevel="4">
      <c r="A830" s="70" t="s">
        <v>1218</v>
      </c>
      <c r="B830" s="139">
        <f>302.354*(1.3/71)</f>
        <v>5.5360591549295783</v>
      </c>
      <c r="C830" s="148" t="s">
        <v>1250</v>
      </c>
      <c r="D830" s="139">
        <v>5.5360591549295783</v>
      </c>
      <c r="E830" s="144" t="s">
        <v>1250</v>
      </c>
    </row>
    <row r="831" spans="1:5" s="15" customFormat="1" ht="17.850000000000001" hidden="1" customHeight="1" outlineLevel="4">
      <c r="A831" s="70" t="s">
        <v>1219</v>
      </c>
      <c r="B831" s="139">
        <f t="shared" ref="B831:B836" si="16">707.122*(1.3/71)</f>
        <v>12.947304225352115</v>
      </c>
      <c r="C831" s="148" t="s">
        <v>1250</v>
      </c>
      <c r="D831" s="139">
        <v>12.947304225352115</v>
      </c>
      <c r="E831" s="144" t="s">
        <v>1250</v>
      </c>
    </row>
    <row r="832" spans="1:5" s="15" customFormat="1" ht="17.850000000000001" hidden="1" customHeight="1" outlineLevel="4">
      <c r="A832" s="70" t="s">
        <v>1220</v>
      </c>
      <c r="B832" s="139">
        <f t="shared" si="16"/>
        <v>12.947304225352115</v>
      </c>
      <c r="C832" s="148" t="s">
        <v>1250</v>
      </c>
      <c r="D832" s="139">
        <v>12.947304225352115</v>
      </c>
      <c r="E832" s="144" t="s">
        <v>1250</v>
      </c>
    </row>
    <row r="833" spans="1:5" s="15" customFormat="1" ht="17.850000000000001" hidden="1" customHeight="1" outlineLevel="4">
      <c r="A833" s="70" t="s">
        <v>1221</v>
      </c>
      <c r="B833" s="139">
        <f t="shared" si="16"/>
        <v>12.947304225352115</v>
      </c>
      <c r="C833" s="148" t="s">
        <v>1250</v>
      </c>
      <c r="D833" s="139">
        <v>12.947304225352115</v>
      </c>
      <c r="E833" s="144" t="s">
        <v>1250</v>
      </c>
    </row>
    <row r="834" spans="1:5" s="15" customFormat="1" ht="17.850000000000001" hidden="1" customHeight="1" outlineLevel="4">
      <c r="A834" s="70" t="s">
        <v>1222</v>
      </c>
      <c r="B834" s="139">
        <f t="shared" si="16"/>
        <v>12.947304225352115</v>
      </c>
      <c r="C834" s="148" t="s">
        <v>1250</v>
      </c>
      <c r="D834" s="139">
        <v>12.947304225352115</v>
      </c>
      <c r="E834" s="144" t="s">
        <v>1250</v>
      </c>
    </row>
    <row r="835" spans="1:5" s="15" customFormat="1" ht="32.85" hidden="1" customHeight="1" outlineLevel="4">
      <c r="A835" s="70" t="s">
        <v>1223</v>
      </c>
      <c r="B835" s="139">
        <f t="shared" si="16"/>
        <v>12.947304225352115</v>
      </c>
      <c r="C835" s="148" t="s">
        <v>1250</v>
      </c>
      <c r="D835" s="139">
        <v>12.947304225352115</v>
      </c>
      <c r="E835" s="144" t="s">
        <v>1250</v>
      </c>
    </row>
    <row r="836" spans="1:5" s="15" customFormat="1" ht="17.850000000000001" hidden="1" customHeight="1" outlineLevel="4">
      <c r="A836" s="70" t="s">
        <v>1224</v>
      </c>
      <c r="B836" s="139">
        <f t="shared" si="16"/>
        <v>12.947304225352115</v>
      </c>
      <c r="C836" s="148" t="s">
        <v>1250</v>
      </c>
      <c r="D836" s="139">
        <v>12.947304225352115</v>
      </c>
      <c r="E836" s="144" t="s">
        <v>1250</v>
      </c>
    </row>
    <row r="837" spans="1:5" s="16" customFormat="1" ht="16.350000000000001" hidden="1" customHeight="1" outlineLevel="3" collapsed="1">
      <c r="A837" s="22" t="s">
        <v>1225</v>
      </c>
      <c r="B837" s="21"/>
      <c r="C837" s="21"/>
      <c r="D837" s="21"/>
      <c r="E837" s="143"/>
    </row>
    <row r="838" spans="1:5" s="15" customFormat="1" ht="17.850000000000001" hidden="1" customHeight="1" outlineLevel="4">
      <c r="A838" s="70" t="s">
        <v>1226</v>
      </c>
      <c r="B838" s="139">
        <f>2433.639*(1.3/71)</f>
        <v>44.559587323943667</v>
      </c>
      <c r="C838" s="148" t="s">
        <v>1250</v>
      </c>
      <c r="D838" s="139">
        <v>44.55958732394366</v>
      </c>
      <c r="E838" s="144" t="s">
        <v>1250</v>
      </c>
    </row>
    <row r="839" spans="1:5" s="15" customFormat="1" ht="32.85" hidden="1" customHeight="1" outlineLevel="4">
      <c r="A839" s="70" t="s">
        <v>1227</v>
      </c>
      <c r="B839" s="139">
        <f>1411.514*(1.3/71)</f>
        <v>25.844622535211268</v>
      </c>
      <c r="C839" s="148" t="s">
        <v>1250</v>
      </c>
      <c r="D839" s="139">
        <v>25.844622535211272</v>
      </c>
      <c r="E839" s="144" t="s">
        <v>1250</v>
      </c>
    </row>
    <row r="840" spans="1:5" s="15" customFormat="1" ht="32.85" hidden="1" customHeight="1" outlineLevel="4">
      <c r="A840" s="70" t="s">
        <v>1228</v>
      </c>
      <c r="B840" s="139">
        <f>883.311*(1.3/71)</f>
        <v>16.173300000000001</v>
      </c>
      <c r="C840" s="148" t="s">
        <v>1250</v>
      </c>
      <c r="D840" s="139">
        <v>16.173300000000001</v>
      </c>
      <c r="E840" s="144" t="s">
        <v>1250</v>
      </c>
    </row>
    <row r="841" spans="1:5" s="15" customFormat="1" ht="17.850000000000001" hidden="1" customHeight="1" outlineLevel="4">
      <c r="A841" s="70" t="s">
        <v>1229</v>
      </c>
      <c r="B841" s="139">
        <f>817.583*(1.3/71)</f>
        <v>14.969829577464788</v>
      </c>
      <c r="C841" s="148" t="s">
        <v>1250</v>
      </c>
      <c r="D841" s="139">
        <v>14.969829577464788</v>
      </c>
      <c r="E841" s="144" t="s">
        <v>1250</v>
      </c>
    </row>
    <row r="842" spans="1:5" s="15" customFormat="1" ht="17.850000000000001" hidden="1" customHeight="1" outlineLevel="4">
      <c r="A842" s="70" t="s">
        <v>1230</v>
      </c>
      <c r="B842" s="139">
        <f>817.583*(1.3/71)</f>
        <v>14.969829577464788</v>
      </c>
      <c r="C842" s="148" t="s">
        <v>1250</v>
      </c>
      <c r="D842" s="139">
        <v>14.969829577464788</v>
      </c>
      <c r="E842" s="144" t="s">
        <v>1250</v>
      </c>
    </row>
    <row r="843" spans="1:5" s="15" customFormat="1" ht="32.85" hidden="1" customHeight="1" outlineLevel="4">
      <c r="A843" s="70" t="s">
        <v>1231</v>
      </c>
      <c r="B843" s="139">
        <f>1030.198*(1.3/71)</f>
        <v>18.862780281690142</v>
      </c>
      <c r="C843" s="148" t="s">
        <v>1250</v>
      </c>
      <c r="D843" s="139">
        <v>18.862780281690142</v>
      </c>
      <c r="E843" s="144" t="s">
        <v>1250</v>
      </c>
    </row>
    <row r="844" spans="1:5" s="15" customFormat="1" ht="32.85" hidden="1" customHeight="1" outlineLevel="4">
      <c r="A844" s="70" t="s">
        <v>1232</v>
      </c>
      <c r="B844" s="139">
        <f>999.271*(1.3/71)</f>
        <v>18.296511267605634</v>
      </c>
      <c r="C844" s="148" t="s">
        <v>1250</v>
      </c>
      <c r="D844" s="139">
        <v>18.296511267605634</v>
      </c>
      <c r="E844" s="144" t="s">
        <v>1250</v>
      </c>
    </row>
    <row r="845" spans="1:5" s="15" customFormat="1" ht="17.850000000000001" hidden="1" customHeight="1" outlineLevel="4">
      <c r="A845" s="70" t="s">
        <v>1233</v>
      </c>
      <c r="B845" s="139">
        <f>999.271*(1.3/71)</f>
        <v>18.296511267605634</v>
      </c>
      <c r="C845" s="148" t="s">
        <v>1250</v>
      </c>
      <c r="D845" s="139">
        <v>18.296511267605634</v>
      </c>
      <c r="E845" s="144" t="s">
        <v>1250</v>
      </c>
    </row>
    <row r="846" spans="1:5" s="15" customFormat="1" ht="17.850000000000001" hidden="1" customHeight="1" outlineLevel="4">
      <c r="A846" s="70" t="s">
        <v>1234</v>
      </c>
      <c r="B846" s="139">
        <f>1536.834*(1.3/71)</f>
        <v>28.139214084507042</v>
      </c>
      <c r="C846" s="148" t="s">
        <v>1250</v>
      </c>
      <c r="D846" s="139">
        <v>28.139214084507046</v>
      </c>
      <c r="E846" s="144" t="s">
        <v>1250</v>
      </c>
    </row>
    <row r="847" spans="1:5" s="15" customFormat="1" ht="17.850000000000001" hidden="1" customHeight="1" outlineLevel="4">
      <c r="A847" s="70" t="s">
        <v>1235</v>
      </c>
      <c r="B847" s="139">
        <f>1536.834*(1.3/71)</f>
        <v>28.139214084507042</v>
      </c>
      <c r="C847" s="148" t="s">
        <v>1250</v>
      </c>
      <c r="D847" s="139">
        <v>28.139214084507046</v>
      </c>
      <c r="E847" s="144" t="s">
        <v>1250</v>
      </c>
    </row>
    <row r="848" spans="1:5" s="15" customFormat="1" ht="17.850000000000001" hidden="1" customHeight="1" outlineLevel="4">
      <c r="A848" s="70" t="s">
        <v>1236</v>
      </c>
      <c r="B848" s="139">
        <f>999.271*(1.3/71)</f>
        <v>18.296511267605634</v>
      </c>
      <c r="C848" s="148" t="s">
        <v>1250</v>
      </c>
      <c r="D848" s="139">
        <v>18.296511267605634</v>
      </c>
      <c r="E848" s="144" t="s">
        <v>1250</v>
      </c>
    </row>
    <row r="849" spans="1:5" s="15" customFormat="1" ht="17.850000000000001" hidden="1" customHeight="1" outlineLevel="4">
      <c r="A849" s="70" t="s">
        <v>1237</v>
      </c>
      <c r="B849" s="139">
        <f>749.463*(1.3/71)</f>
        <v>13.722561971830984</v>
      </c>
      <c r="C849" s="148" t="s">
        <v>1250</v>
      </c>
      <c r="D849" s="139">
        <v>13.722561971830984</v>
      </c>
      <c r="E849" s="144" t="s">
        <v>1250</v>
      </c>
    </row>
    <row r="850" spans="1:5" s="16" customFormat="1" ht="16.350000000000001" hidden="1" customHeight="1" outlineLevel="3" collapsed="1">
      <c r="A850" s="22" t="s">
        <v>1238</v>
      </c>
      <c r="B850" s="21"/>
      <c r="C850" s="21"/>
      <c r="D850" s="21"/>
      <c r="E850" s="143"/>
    </row>
    <row r="851" spans="1:5" s="15" customFormat="1" ht="17.850000000000001" hidden="1" customHeight="1" outlineLevel="4">
      <c r="A851" s="17" t="s">
        <v>1239</v>
      </c>
      <c r="B851" s="138">
        <f>290.121*(1.3/71)</f>
        <v>5.3120746478873233</v>
      </c>
      <c r="C851" s="147" t="s">
        <v>1250</v>
      </c>
      <c r="D851" s="138">
        <v>5.3120746478873233</v>
      </c>
      <c r="E851" s="142" t="s">
        <v>1250</v>
      </c>
    </row>
    <row r="852" spans="1:5" s="15" customFormat="1" ht="17.850000000000001" hidden="1" customHeight="1" outlineLevel="4">
      <c r="A852" s="17" t="s">
        <v>1240</v>
      </c>
      <c r="B852" s="138">
        <f>214.76*(1.3/71)</f>
        <v>3.9322253521126758</v>
      </c>
      <c r="C852" s="147" t="s">
        <v>1250</v>
      </c>
      <c r="D852" s="138">
        <v>3.9322253521126758</v>
      </c>
      <c r="E852" s="142" t="s">
        <v>1250</v>
      </c>
    </row>
    <row r="853" spans="1:5" s="15" customFormat="1" ht="17.850000000000001" hidden="1" customHeight="1" outlineLevel="4">
      <c r="A853" s="17" t="s">
        <v>1241</v>
      </c>
      <c r="B853" s="138">
        <f>214.76*(1.3/71)</f>
        <v>3.9322253521126758</v>
      </c>
      <c r="C853" s="147" t="s">
        <v>1250</v>
      </c>
      <c r="D853" s="138">
        <v>3.9322253521126758</v>
      </c>
      <c r="E853" s="142" t="s">
        <v>1250</v>
      </c>
    </row>
    <row r="854" spans="1:5" s="15" customFormat="1" ht="17.850000000000001" hidden="1" customHeight="1" outlineLevel="4">
      <c r="A854" s="17" t="s">
        <v>1242</v>
      </c>
      <c r="B854" s="138">
        <f>214.76*(1.3/71)</f>
        <v>3.9322253521126758</v>
      </c>
      <c r="C854" s="147" t="s">
        <v>1250</v>
      </c>
      <c r="D854" s="138">
        <v>3.9322253521126758</v>
      </c>
      <c r="E854" s="142" t="s">
        <v>1250</v>
      </c>
    </row>
    <row r="855" spans="1:5" s="15" customFormat="1" ht="17.850000000000001" hidden="1" customHeight="1" outlineLevel="4">
      <c r="A855" s="17" t="s">
        <v>1243</v>
      </c>
      <c r="B855" s="138">
        <f>214.76*(1.3/71)</f>
        <v>3.9322253521126758</v>
      </c>
      <c r="C855" s="147" t="s">
        <v>1250</v>
      </c>
      <c r="D855" s="138">
        <v>3.9322253521126758</v>
      </c>
      <c r="E855" s="142" t="s">
        <v>1250</v>
      </c>
    </row>
    <row r="856" spans="1:5" s="15" customFormat="1" ht="17.850000000000001" hidden="1" customHeight="1" outlineLevel="4">
      <c r="A856" s="17" t="s">
        <v>1244</v>
      </c>
      <c r="B856" s="138">
        <f>363.922*(1.3/71)</f>
        <v>6.6633605633802819</v>
      </c>
      <c r="C856" s="147" t="s">
        <v>1250</v>
      </c>
      <c r="D856" s="138">
        <v>6.6633605633802819</v>
      </c>
      <c r="E856" s="142" t="s">
        <v>1250</v>
      </c>
    </row>
    <row r="857" spans="1:5" s="15" customFormat="1" ht="17.850000000000001" hidden="1" customHeight="1" outlineLevel="4">
      <c r="A857" s="17" t="s">
        <v>1245</v>
      </c>
      <c r="B857" s="138">
        <f>980.343*(1.3/71)</f>
        <v>17.949942253521129</v>
      </c>
      <c r="C857" s="147" t="s">
        <v>1250</v>
      </c>
      <c r="D857" s="138">
        <v>17.949942253521129</v>
      </c>
      <c r="E857" s="142" t="s">
        <v>1250</v>
      </c>
    </row>
    <row r="858" spans="1:5" s="15" customFormat="1" ht="17.850000000000001" hidden="1" customHeight="1" outlineLevel="4">
      <c r="A858" s="17" t="s">
        <v>1246</v>
      </c>
      <c r="B858" s="138">
        <f>583.726*(1.3/71)</f>
        <v>10.687940845070422</v>
      </c>
      <c r="C858" s="147" t="s">
        <v>1250</v>
      </c>
      <c r="D858" s="138">
        <v>10.687940845070422</v>
      </c>
      <c r="E858" s="142" t="s">
        <v>1250</v>
      </c>
    </row>
    <row r="859" spans="1:5" s="15" customFormat="1" ht="17.850000000000001" hidden="1" customHeight="1" outlineLevel="4">
      <c r="A859" s="17" t="s">
        <v>1247</v>
      </c>
      <c r="B859" s="138">
        <f>730.613*(1.3/71)</f>
        <v>13.377421126760565</v>
      </c>
      <c r="C859" s="147" t="s">
        <v>1250</v>
      </c>
      <c r="D859" s="138">
        <v>13.377421126760565</v>
      </c>
      <c r="E859" s="142" t="s">
        <v>1250</v>
      </c>
    </row>
    <row r="860" spans="1:5" s="15" customFormat="1" ht="17.850000000000001" hidden="1" customHeight="1" outlineLevel="4">
      <c r="A860" s="17" t="s">
        <v>1248</v>
      </c>
      <c r="B860" s="138">
        <f>334.178*(1.3/71)</f>
        <v>6.1187521126760567</v>
      </c>
      <c r="C860" s="147" t="s">
        <v>1250</v>
      </c>
      <c r="D860" s="138">
        <v>6.1187521126760567</v>
      </c>
      <c r="E860" s="142" t="s">
        <v>1250</v>
      </c>
    </row>
  </sheetData>
  <mergeCells count="1">
    <mergeCell ref="A1:E1"/>
  </mergeCells>
  <pageMargins left="0.75" right="0.75" top="1" bottom="1" header="0.5" footer="0.5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="73" zoomScaleNormal="73" workbookViewId="0">
      <selection activeCell="G7" sqref="G7"/>
    </sheetView>
  </sheetViews>
  <sheetFormatPr defaultRowHeight="12.75"/>
  <cols>
    <col min="1" max="1" width="68.140625" style="8" customWidth="1"/>
    <col min="2" max="2" width="21" style="7" customWidth="1"/>
    <col min="3" max="4" width="14.85546875" style="8" customWidth="1"/>
  </cols>
  <sheetData>
    <row r="1" spans="1:4" ht="15.75">
      <c r="A1" s="155" t="s">
        <v>3</v>
      </c>
      <c r="B1" s="156"/>
      <c r="C1" s="156"/>
      <c r="D1" s="157"/>
    </row>
    <row r="2" spans="1:4" ht="20.25" customHeight="1">
      <c r="A2" s="73" t="s">
        <v>41</v>
      </c>
      <c r="B2" s="73" t="s">
        <v>39</v>
      </c>
      <c r="C2" s="73" t="s">
        <v>40</v>
      </c>
      <c r="D2" s="74" t="s">
        <v>38</v>
      </c>
    </row>
    <row r="3" spans="1:4" ht="15">
      <c r="A3" s="11" t="s">
        <v>75</v>
      </c>
      <c r="B3" s="10" t="s">
        <v>24</v>
      </c>
      <c r="C3" s="5">
        <v>26.8125</v>
      </c>
      <c r="D3" s="9">
        <v>0.35279605263157898</v>
      </c>
    </row>
    <row r="4" spans="1:4" ht="15">
      <c r="A4" s="11" t="s">
        <v>4</v>
      </c>
      <c r="B4" s="10" t="s">
        <v>24</v>
      </c>
      <c r="C4" s="5">
        <v>25.512499999999999</v>
      </c>
      <c r="D4" s="9">
        <v>0.33569078947368425</v>
      </c>
    </row>
    <row r="5" spans="1:4" ht="15">
      <c r="A5" s="11" t="s">
        <v>5</v>
      </c>
      <c r="B5" s="10" t="s">
        <v>24</v>
      </c>
      <c r="C5" s="5">
        <v>17.387499999999999</v>
      </c>
      <c r="D5" s="9">
        <v>0.22878289473684213</v>
      </c>
    </row>
    <row r="6" spans="1:4" ht="15.75">
      <c r="A6" s="155" t="s">
        <v>6</v>
      </c>
      <c r="B6" s="156"/>
      <c r="C6" s="156"/>
      <c r="D6" s="157"/>
    </row>
    <row r="7" spans="1:4" ht="15">
      <c r="A7" s="11" t="s">
        <v>7</v>
      </c>
      <c r="B7" s="10" t="s">
        <v>25</v>
      </c>
      <c r="C7" s="5">
        <v>35.75</v>
      </c>
      <c r="D7" s="9">
        <v>0.47039473684210531</v>
      </c>
    </row>
    <row r="8" spans="1:4" ht="15">
      <c r="A8" s="11" t="s">
        <v>8</v>
      </c>
      <c r="B8" s="10"/>
      <c r="C8" s="5" t="s">
        <v>1</v>
      </c>
      <c r="D8" s="9" t="s">
        <v>2</v>
      </c>
    </row>
    <row r="9" spans="1:4" ht="15">
      <c r="A9" s="11" t="s">
        <v>9</v>
      </c>
      <c r="B9" s="10" t="s">
        <v>26</v>
      </c>
      <c r="C9" s="5">
        <v>78.8125</v>
      </c>
      <c r="D9" s="9">
        <v>1.0370065789473686</v>
      </c>
    </row>
    <row r="10" spans="1:4" ht="15">
      <c r="A10" s="11" t="s">
        <v>10</v>
      </c>
      <c r="B10" s="10" t="s">
        <v>27</v>
      </c>
      <c r="C10" s="5">
        <v>68.25</v>
      </c>
      <c r="D10" s="9">
        <v>0.89802631578947367</v>
      </c>
    </row>
    <row r="11" spans="1:4" ht="15">
      <c r="A11" s="11" t="s">
        <v>11</v>
      </c>
      <c r="B11" s="10" t="s">
        <v>28</v>
      </c>
      <c r="C11" s="5">
        <v>50.375</v>
      </c>
      <c r="D11" s="9">
        <v>0.66282894736842102</v>
      </c>
    </row>
    <row r="12" spans="1:4" ht="15">
      <c r="A12" s="11" t="s">
        <v>12</v>
      </c>
      <c r="B12" s="10" t="s">
        <v>29</v>
      </c>
      <c r="C12" s="5">
        <v>21.125</v>
      </c>
      <c r="D12" s="9">
        <v>0.27796052631578949</v>
      </c>
    </row>
    <row r="13" spans="1:4" ht="15">
      <c r="A13" s="11" t="s">
        <v>12</v>
      </c>
      <c r="B13" s="10" t="s">
        <v>30</v>
      </c>
      <c r="C13" s="5">
        <v>26</v>
      </c>
      <c r="D13" s="9">
        <v>0.34210526315789475</v>
      </c>
    </row>
    <row r="14" spans="1:4" ht="15">
      <c r="A14" s="11" t="s">
        <v>13</v>
      </c>
      <c r="B14" s="10" t="s">
        <v>31</v>
      </c>
      <c r="C14" s="5">
        <v>39</v>
      </c>
      <c r="D14" s="9">
        <v>0.51315789473684215</v>
      </c>
    </row>
    <row r="15" spans="1:4" ht="15.75">
      <c r="A15" s="155" t="s">
        <v>14</v>
      </c>
      <c r="B15" s="156"/>
      <c r="C15" s="156"/>
      <c r="D15" s="157"/>
    </row>
    <row r="16" spans="1:4" ht="15">
      <c r="A16" s="11" t="s">
        <v>15</v>
      </c>
      <c r="B16" s="10" t="s">
        <v>25</v>
      </c>
      <c r="C16" s="5">
        <v>92.625</v>
      </c>
      <c r="D16" s="9">
        <v>1.21875</v>
      </c>
    </row>
    <row r="17" spans="1:4" ht="15">
      <c r="A17" s="11" t="s">
        <v>16</v>
      </c>
      <c r="B17" s="10" t="s">
        <v>25</v>
      </c>
      <c r="C17" s="5">
        <v>117</v>
      </c>
      <c r="D17" s="9">
        <v>1.5394736842105263</v>
      </c>
    </row>
    <row r="18" spans="1:4" ht="15">
      <c r="A18" s="11" t="s">
        <v>17</v>
      </c>
      <c r="B18" s="10" t="s">
        <v>32</v>
      </c>
      <c r="C18" s="5">
        <v>27.625</v>
      </c>
      <c r="D18" s="9">
        <v>0.36348684210526316</v>
      </c>
    </row>
    <row r="19" spans="1:4" ht="15">
      <c r="A19" s="11" t="s">
        <v>18</v>
      </c>
      <c r="B19" s="10" t="s">
        <v>25</v>
      </c>
      <c r="C19" s="5">
        <v>43.875</v>
      </c>
      <c r="D19" s="9">
        <v>0.57730263157894746</v>
      </c>
    </row>
    <row r="20" spans="1:4" ht="15">
      <c r="A20" s="11" t="s">
        <v>19</v>
      </c>
      <c r="B20" s="10" t="s">
        <v>33</v>
      </c>
      <c r="C20" s="5">
        <v>48.75</v>
      </c>
      <c r="D20" s="9">
        <v>0.64144736842105265</v>
      </c>
    </row>
    <row r="21" spans="1:4" ht="15">
      <c r="A21" s="11" t="s">
        <v>19</v>
      </c>
      <c r="B21" s="10" t="s">
        <v>34</v>
      </c>
      <c r="C21" s="5">
        <v>66.625</v>
      </c>
      <c r="D21" s="9">
        <v>0.8766447368421052</v>
      </c>
    </row>
    <row r="22" spans="1:4" ht="15">
      <c r="A22" s="11" t="s">
        <v>20</v>
      </c>
      <c r="B22" s="10" t="s">
        <v>35</v>
      </c>
      <c r="C22" s="5">
        <v>141.375</v>
      </c>
      <c r="D22" s="9">
        <v>1.8601973684210527</v>
      </c>
    </row>
    <row r="23" spans="1:4" ht="15">
      <c r="A23" s="11" t="s">
        <v>21</v>
      </c>
      <c r="B23" s="10" t="s">
        <v>35</v>
      </c>
      <c r="C23" s="5">
        <v>152.75</v>
      </c>
      <c r="D23" s="9">
        <v>2.0098684210526314</v>
      </c>
    </row>
    <row r="24" spans="1:4" ht="15">
      <c r="A24" s="11" t="s">
        <v>22</v>
      </c>
      <c r="B24" s="10" t="s">
        <v>36</v>
      </c>
      <c r="C24" s="5">
        <v>170.625</v>
      </c>
      <c r="D24" s="9">
        <v>2.2450657894736845</v>
      </c>
    </row>
    <row r="25" spans="1:4" ht="15">
      <c r="A25" s="11" t="s">
        <v>23</v>
      </c>
      <c r="B25" s="10" t="s">
        <v>37</v>
      </c>
      <c r="C25" s="5">
        <v>162.5</v>
      </c>
      <c r="D25" s="9">
        <v>2.138157894736842</v>
      </c>
    </row>
    <row r="26" spans="1:4" ht="15">
      <c r="A26" s="11" t="s">
        <v>19</v>
      </c>
      <c r="B26" s="10" t="s">
        <v>33</v>
      </c>
      <c r="C26" s="5">
        <v>48.75</v>
      </c>
      <c r="D26" s="9">
        <v>0.64144736842105265</v>
      </c>
    </row>
    <row r="27" spans="1:4" ht="15">
      <c r="A27" s="11" t="s">
        <v>19</v>
      </c>
      <c r="B27" s="10" t="s">
        <v>34</v>
      </c>
      <c r="C27" s="5">
        <v>66.625</v>
      </c>
      <c r="D27" s="9">
        <v>0.8766447368421052</v>
      </c>
    </row>
    <row r="28" spans="1:4" ht="15">
      <c r="A28" s="11" t="s">
        <v>20</v>
      </c>
      <c r="B28" s="10" t="s">
        <v>35</v>
      </c>
      <c r="C28" s="5">
        <v>141.375</v>
      </c>
      <c r="D28" s="9">
        <v>1.8601973684210527</v>
      </c>
    </row>
    <row r="29" spans="1:4" ht="15">
      <c r="A29" s="11" t="s">
        <v>21</v>
      </c>
      <c r="B29" s="10" t="s">
        <v>35</v>
      </c>
      <c r="C29" s="5">
        <v>152.75</v>
      </c>
      <c r="D29" s="9">
        <v>2.0098684210526314</v>
      </c>
    </row>
    <row r="30" spans="1:4" ht="15">
      <c r="A30" s="11" t="s">
        <v>22</v>
      </c>
      <c r="B30" s="10" t="s">
        <v>36</v>
      </c>
      <c r="C30" s="5">
        <v>170.625</v>
      </c>
      <c r="D30" s="9">
        <v>2.2450657894736845</v>
      </c>
    </row>
    <row r="31" spans="1:4" ht="15">
      <c r="A31" s="11" t="s">
        <v>23</v>
      </c>
      <c r="B31" s="10" t="s">
        <v>37</v>
      </c>
      <c r="C31" s="5">
        <v>162.5</v>
      </c>
      <c r="D31" s="9">
        <v>2.138157894736842</v>
      </c>
    </row>
    <row r="32" spans="1:4" ht="15.75">
      <c r="A32" s="155" t="s">
        <v>393</v>
      </c>
      <c r="B32" s="156"/>
      <c r="C32" s="156"/>
      <c r="D32" s="157"/>
    </row>
    <row r="33" spans="1:4" ht="15">
      <c r="A33" s="11" t="s">
        <v>42</v>
      </c>
      <c r="B33" s="10" t="s">
        <v>24</v>
      </c>
      <c r="C33" s="5">
        <v>17.387499999999999</v>
      </c>
      <c r="D33" s="9">
        <v>0.22878289473684213</v>
      </c>
    </row>
    <row r="34" spans="1:4" ht="15">
      <c r="A34" s="11" t="s">
        <v>43</v>
      </c>
      <c r="B34" s="10" t="s">
        <v>32</v>
      </c>
      <c r="C34" s="5">
        <v>30.55</v>
      </c>
      <c r="D34" s="9">
        <v>0.40197368421052637</v>
      </c>
    </row>
    <row r="35" spans="1:4" ht="15">
      <c r="A35" s="11" t="s">
        <v>44</v>
      </c>
      <c r="B35" s="10" t="s">
        <v>32</v>
      </c>
      <c r="C35" s="5">
        <v>59.800000000000004</v>
      </c>
      <c r="D35" s="9">
        <v>0.7868421052631579</v>
      </c>
    </row>
    <row r="36" spans="1:4" ht="15">
      <c r="A36" s="11" t="s">
        <v>45</v>
      </c>
      <c r="B36" s="10" t="s">
        <v>32</v>
      </c>
      <c r="C36" s="5">
        <v>19.337500000000002</v>
      </c>
      <c r="D36" s="9">
        <v>0.25444078947368426</v>
      </c>
    </row>
    <row r="37" spans="1:4" ht="15">
      <c r="A37" s="11" t="s">
        <v>46</v>
      </c>
      <c r="B37" s="10" t="s">
        <v>74</v>
      </c>
      <c r="C37" s="5">
        <v>19.012499999999999</v>
      </c>
      <c r="D37" s="9">
        <v>0.25016447368421052</v>
      </c>
    </row>
    <row r="38" spans="1:4" ht="15">
      <c r="A38" s="11" t="s">
        <v>47</v>
      </c>
      <c r="B38" s="10" t="s">
        <v>24</v>
      </c>
      <c r="C38" s="5">
        <v>39.8125</v>
      </c>
      <c r="D38" s="9">
        <v>0.52384868421052633</v>
      </c>
    </row>
    <row r="39" spans="1:4" ht="15">
      <c r="A39" s="11" t="s">
        <v>48</v>
      </c>
      <c r="B39" s="10" t="s">
        <v>24</v>
      </c>
      <c r="C39" s="5">
        <v>31.6875</v>
      </c>
      <c r="D39" s="9">
        <v>0.41694078947368424</v>
      </c>
    </row>
    <row r="40" spans="1:4" ht="15">
      <c r="A40" s="11" t="s">
        <v>49</v>
      </c>
      <c r="B40" s="10" t="s">
        <v>24</v>
      </c>
      <c r="C40" s="5">
        <v>30.55</v>
      </c>
      <c r="D40" s="9">
        <v>0.40197368421052637</v>
      </c>
    </row>
    <row r="41" spans="1:4" ht="15">
      <c r="A41" s="11" t="s">
        <v>50</v>
      </c>
      <c r="B41" s="10" t="s">
        <v>32</v>
      </c>
      <c r="C41" s="5">
        <v>57.2</v>
      </c>
      <c r="D41" s="9">
        <v>0.75263157894736843</v>
      </c>
    </row>
    <row r="42" spans="1:4" ht="15">
      <c r="A42" s="11" t="s">
        <v>51</v>
      </c>
      <c r="B42" s="10" t="s">
        <v>24</v>
      </c>
      <c r="C42" s="5">
        <v>122.6875</v>
      </c>
      <c r="D42" s="9">
        <v>1.6143092105263159</v>
      </c>
    </row>
    <row r="43" spans="1:4" ht="15">
      <c r="A43" s="11" t="s">
        <v>52</v>
      </c>
      <c r="B43" s="10" t="s">
        <v>32</v>
      </c>
      <c r="C43" s="5">
        <v>22.75</v>
      </c>
      <c r="D43" s="9">
        <v>0.29934210526315791</v>
      </c>
    </row>
    <row r="44" spans="1:4" ht="15">
      <c r="A44" s="11" t="s">
        <v>53</v>
      </c>
      <c r="B44" s="10" t="s">
        <v>32</v>
      </c>
      <c r="C44" s="5">
        <v>11.375</v>
      </c>
      <c r="D44" s="9">
        <v>0.14967105263157895</v>
      </c>
    </row>
    <row r="45" spans="1:4" ht="15">
      <c r="A45" s="11" t="s">
        <v>54</v>
      </c>
      <c r="B45" s="10" t="s">
        <v>32</v>
      </c>
      <c r="C45" s="5">
        <v>16.25</v>
      </c>
      <c r="D45" s="9">
        <v>0.21381578947368424</v>
      </c>
    </row>
    <row r="46" spans="1:4" ht="15">
      <c r="A46" s="11" t="s">
        <v>55</v>
      </c>
      <c r="B46" s="10" t="s">
        <v>28</v>
      </c>
      <c r="C46" s="5">
        <v>17.712500000000002</v>
      </c>
      <c r="D46" s="9">
        <v>0.23305921052631579</v>
      </c>
    </row>
    <row r="47" spans="1:4" ht="15.75">
      <c r="A47" s="155" t="s">
        <v>56</v>
      </c>
      <c r="B47" s="156"/>
      <c r="C47" s="156"/>
      <c r="D47" s="157"/>
    </row>
    <row r="48" spans="1:4" ht="15">
      <c r="A48" s="11" t="s">
        <v>57</v>
      </c>
      <c r="B48" s="10" t="s">
        <v>32</v>
      </c>
      <c r="C48" s="5">
        <v>55.64</v>
      </c>
      <c r="D48" s="9"/>
    </row>
    <row r="49" spans="1:4" ht="15.75">
      <c r="A49" s="155" t="s">
        <v>77</v>
      </c>
      <c r="B49" s="156"/>
      <c r="C49" s="156"/>
      <c r="D49" s="157"/>
    </row>
    <row r="50" spans="1:4" ht="15">
      <c r="A50" s="11" t="s">
        <v>58</v>
      </c>
      <c r="B50" s="10" t="s">
        <v>25</v>
      </c>
      <c r="C50" s="5">
        <v>121.875</v>
      </c>
      <c r="D50" s="9">
        <v>1.6036184210526316</v>
      </c>
    </row>
    <row r="51" spans="1:4" ht="15">
      <c r="A51" s="11" t="s">
        <v>18</v>
      </c>
      <c r="B51" s="10" t="s">
        <v>25</v>
      </c>
      <c r="C51" s="5">
        <v>30.875</v>
      </c>
      <c r="D51" s="9">
        <v>0.40625</v>
      </c>
    </row>
    <row r="52" spans="1:4" ht="15">
      <c r="A52" s="11" t="s">
        <v>59</v>
      </c>
      <c r="B52" s="10" t="s">
        <v>24</v>
      </c>
      <c r="C52" s="5">
        <v>40.625</v>
      </c>
      <c r="D52" s="9">
        <v>0.53453947368421051</v>
      </c>
    </row>
    <row r="53" spans="1:4" ht="15">
      <c r="A53" s="11" t="s">
        <v>60</v>
      </c>
      <c r="B53" s="10" t="s">
        <v>24</v>
      </c>
      <c r="C53" s="5">
        <v>39</v>
      </c>
      <c r="D53" s="9">
        <v>0.51315789473684215</v>
      </c>
    </row>
    <row r="54" spans="1:4" ht="15">
      <c r="A54" s="11" t="s">
        <v>61</v>
      </c>
      <c r="B54" s="10" t="s">
        <v>32</v>
      </c>
      <c r="C54" s="5">
        <v>53.625</v>
      </c>
      <c r="D54" s="9">
        <v>0.70559210526315796</v>
      </c>
    </row>
    <row r="55" spans="1:4" ht="15">
      <c r="A55" s="11" t="s">
        <v>62</v>
      </c>
      <c r="B55" s="10" t="s">
        <v>32</v>
      </c>
      <c r="C55" s="5">
        <v>53.625</v>
      </c>
      <c r="D55" s="9">
        <v>0.70559210526315796</v>
      </c>
    </row>
    <row r="56" spans="1:4" ht="15">
      <c r="A56" s="11" t="s">
        <v>63</v>
      </c>
      <c r="B56" s="10" t="s">
        <v>24</v>
      </c>
      <c r="C56" s="5">
        <v>34.125</v>
      </c>
      <c r="D56" s="9">
        <v>0.44901315789473684</v>
      </c>
    </row>
    <row r="57" spans="1:4" ht="15.75">
      <c r="A57" s="155" t="s">
        <v>76</v>
      </c>
      <c r="B57" s="156"/>
      <c r="C57" s="156"/>
      <c r="D57" s="157"/>
    </row>
    <row r="58" spans="1:4" ht="15">
      <c r="A58" s="11" t="s">
        <v>64</v>
      </c>
      <c r="B58" s="10" t="s">
        <v>32</v>
      </c>
      <c r="C58" s="5">
        <v>8.9375</v>
      </c>
      <c r="D58" s="9">
        <v>0.11759868421052633</v>
      </c>
    </row>
    <row r="59" spans="1:4" ht="15">
      <c r="A59" s="11" t="s">
        <v>65</v>
      </c>
      <c r="B59" s="10" t="s">
        <v>32</v>
      </c>
      <c r="C59" s="5">
        <v>9.5875000000000004</v>
      </c>
      <c r="D59" s="9">
        <v>0.12615131578947369</v>
      </c>
    </row>
    <row r="60" spans="1:4" ht="15">
      <c r="A60" s="11" t="s">
        <v>66</v>
      </c>
      <c r="B60" s="10" t="s">
        <v>28</v>
      </c>
      <c r="C60" s="5">
        <v>11.05</v>
      </c>
      <c r="D60" s="9">
        <v>0.14539473684210527</v>
      </c>
    </row>
    <row r="61" spans="1:4" ht="15">
      <c r="A61" s="11" t="s">
        <v>67</v>
      </c>
      <c r="B61" s="10" t="s">
        <v>28</v>
      </c>
      <c r="C61" s="5">
        <v>13.8125</v>
      </c>
      <c r="D61" s="9">
        <v>0.18174342105263158</v>
      </c>
    </row>
    <row r="62" spans="1:4" ht="15">
      <c r="A62" s="11" t="s">
        <v>68</v>
      </c>
      <c r="B62" s="10" t="s">
        <v>28</v>
      </c>
      <c r="C62" s="5">
        <v>17.712500000000002</v>
      </c>
      <c r="D62" s="9">
        <v>0.23305921052631579</v>
      </c>
    </row>
    <row r="63" spans="1:4" ht="15">
      <c r="A63" s="11" t="s">
        <v>69</v>
      </c>
      <c r="B63" s="10" t="s">
        <v>28</v>
      </c>
      <c r="C63" s="5">
        <v>14.137500000000001</v>
      </c>
      <c r="D63" s="9">
        <v>0.18601973684210527</v>
      </c>
    </row>
    <row r="64" spans="1:4" ht="15">
      <c r="A64" s="11" t="s">
        <v>70</v>
      </c>
      <c r="B64" s="10" t="s">
        <v>28</v>
      </c>
      <c r="C64" s="5">
        <v>14.137500000000001</v>
      </c>
      <c r="D64" s="9">
        <v>0.18601973684210527</v>
      </c>
    </row>
    <row r="65" spans="1:4" ht="15">
      <c r="A65" s="11" t="s">
        <v>71</v>
      </c>
      <c r="B65" s="10" t="s">
        <v>28</v>
      </c>
      <c r="C65" s="5">
        <v>16.087500000000002</v>
      </c>
      <c r="D65" s="9">
        <v>0.21167763157894737</v>
      </c>
    </row>
    <row r="66" spans="1:4" ht="15">
      <c r="A66" s="11" t="s">
        <v>72</v>
      </c>
      <c r="B66" s="10"/>
      <c r="C66" s="5">
        <v>10.5625</v>
      </c>
      <c r="D66" s="9">
        <v>0.13898026315789475</v>
      </c>
    </row>
    <row r="67" spans="1:4" ht="15">
      <c r="A67" s="11" t="s">
        <v>73</v>
      </c>
      <c r="B67" s="10"/>
      <c r="C67" s="5">
        <v>7.3125</v>
      </c>
      <c r="D67" s="9">
        <v>9.6217105263157895E-2</v>
      </c>
    </row>
    <row r="68" spans="1:4">
      <c r="A68" s="6"/>
    </row>
  </sheetData>
  <mergeCells count="7">
    <mergeCell ref="A57:D57"/>
    <mergeCell ref="A1:D1"/>
    <mergeCell ref="A6:D6"/>
    <mergeCell ref="A15:D15"/>
    <mergeCell ref="A32:D32"/>
    <mergeCell ref="A47:D47"/>
    <mergeCell ref="A49:D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96"/>
  <sheetViews>
    <sheetView zoomScale="80" zoomScaleNormal="80" workbookViewId="0">
      <selection activeCell="F22" sqref="F22"/>
    </sheetView>
  </sheetViews>
  <sheetFormatPr defaultRowHeight="12.75"/>
  <cols>
    <col min="1" max="1" width="64.5703125" style="14" customWidth="1"/>
    <col min="2" max="2" width="12.5703125" style="14" customWidth="1"/>
    <col min="3" max="3" width="18.140625" style="14" customWidth="1"/>
    <col min="4" max="4" width="11.85546875" style="65" customWidth="1"/>
    <col min="6" max="6" width="12.5703125" customWidth="1"/>
    <col min="7" max="7" width="22.140625" customWidth="1"/>
  </cols>
  <sheetData>
    <row r="1" spans="1:4" ht="33" customHeight="1">
      <c r="A1" s="158" t="s">
        <v>1394</v>
      </c>
      <c r="B1" s="159"/>
      <c r="C1" s="159"/>
      <c r="D1" s="160"/>
    </row>
    <row r="2" spans="1:4" ht="27" customHeight="1">
      <c r="A2" s="75" t="s">
        <v>82</v>
      </c>
      <c r="B2" s="75" t="s">
        <v>1358</v>
      </c>
      <c r="C2" s="75" t="s">
        <v>1383</v>
      </c>
      <c r="D2" s="76" t="s">
        <v>81</v>
      </c>
    </row>
    <row r="3" spans="1:4" ht="12.75" customHeight="1">
      <c r="A3" s="161" t="s">
        <v>1335</v>
      </c>
      <c r="B3" s="164" t="s">
        <v>1359</v>
      </c>
      <c r="C3" s="60" t="s">
        <v>1301</v>
      </c>
      <c r="D3" s="63">
        <v>2.8</v>
      </c>
    </row>
    <row r="4" spans="1:4" ht="12.75" customHeight="1">
      <c r="A4" s="162"/>
      <c r="B4" s="165"/>
      <c r="C4" s="60" t="s">
        <v>1384</v>
      </c>
      <c r="D4" s="63">
        <v>2.8</v>
      </c>
    </row>
    <row r="5" spans="1:4" ht="12.75" customHeight="1">
      <c r="A5" s="162"/>
      <c r="B5" s="164" t="s">
        <v>1360</v>
      </c>
      <c r="C5" s="60" t="s">
        <v>1301</v>
      </c>
      <c r="D5" s="63">
        <v>2.8</v>
      </c>
    </row>
    <row r="6" spans="1:4" ht="12.75" customHeight="1">
      <c r="A6" s="163"/>
      <c r="B6" s="165"/>
      <c r="C6" s="60" t="s">
        <v>1384</v>
      </c>
      <c r="D6" s="63">
        <v>2.8</v>
      </c>
    </row>
    <row r="7" spans="1:4" ht="14.25">
      <c r="A7" s="66" t="s">
        <v>1399</v>
      </c>
      <c r="B7" s="59"/>
      <c r="C7" s="60" t="s">
        <v>1301</v>
      </c>
      <c r="D7" s="63">
        <v>1.8632760898282692</v>
      </c>
    </row>
    <row r="8" spans="1:4" ht="14.25">
      <c r="A8" s="66" t="s">
        <v>1336</v>
      </c>
      <c r="B8" s="59"/>
      <c r="C8" s="60" t="s">
        <v>1301</v>
      </c>
      <c r="D8" s="63">
        <v>3.9068692206076614</v>
      </c>
    </row>
    <row r="9" spans="1:4" ht="12.75" customHeight="1">
      <c r="A9" s="161" t="s">
        <v>1337</v>
      </c>
      <c r="B9" s="164" t="s">
        <v>1361</v>
      </c>
      <c r="C9" s="60" t="s">
        <v>1301</v>
      </c>
      <c r="D9" s="63">
        <v>3.966974900924702</v>
      </c>
    </row>
    <row r="10" spans="1:4" ht="12.75" customHeight="1">
      <c r="A10" s="162"/>
      <c r="B10" s="165"/>
      <c r="C10" s="60" t="s">
        <v>1385</v>
      </c>
      <c r="D10" s="63">
        <v>4.0871862615587844</v>
      </c>
    </row>
    <row r="11" spans="1:4" ht="12.75" customHeight="1">
      <c r="A11" s="162"/>
      <c r="B11" s="164" t="s">
        <v>1362</v>
      </c>
      <c r="C11" s="60" t="s">
        <v>1301</v>
      </c>
      <c r="D11" s="63">
        <v>3.4861294583883744</v>
      </c>
    </row>
    <row r="12" spans="1:4" ht="12.75" customHeight="1">
      <c r="A12" s="163"/>
      <c r="B12" s="165"/>
      <c r="C12" s="60" t="s">
        <v>1385</v>
      </c>
      <c r="D12" s="63">
        <v>0</v>
      </c>
    </row>
    <row r="13" spans="1:4" ht="12.75" customHeight="1">
      <c r="A13" s="161" t="s">
        <v>1336</v>
      </c>
      <c r="B13" s="164" t="s">
        <v>1363</v>
      </c>
      <c r="C13" s="60" t="s">
        <v>1301</v>
      </c>
      <c r="D13" s="63">
        <v>4.8084544253632755</v>
      </c>
    </row>
    <row r="14" spans="1:4" ht="12.75" customHeight="1">
      <c r="A14" s="162"/>
      <c r="B14" s="165"/>
      <c r="C14" s="60" t="s">
        <v>1385</v>
      </c>
      <c r="D14" s="63">
        <v>4.8084544253632755</v>
      </c>
    </row>
    <row r="15" spans="1:4" ht="12.75" customHeight="1">
      <c r="A15" s="162"/>
      <c r="B15" s="164" t="s">
        <v>1362</v>
      </c>
      <c r="C15" s="60" t="s">
        <v>1301</v>
      </c>
      <c r="D15" s="63" t="s">
        <v>78</v>
      </c>
    </row>
    <row r="16" spans="1:4" ht="12.75" customHeight="1">
      <c r="A16" s="163"/>
      <c r="B16" s="165"/>
      <c r="C16" s="60" t="s">
        <v>1385</v>
      </c>
      <c r="D16" s="63">
        <v>3.7265521796565384</v>
      </c>
    </row>
    <row r="17" spans="1:4" ht="12.75" customHeight="1">
      <c r="A17" s="161" t="s">
        <v>1338</v>
      </c>
      <c r="B17" s="164" t="s">
        <v>1364</v>
      </c>
      <c r="C17" s="60" t="s">
        <v>1386</v>
      </c>
      <c r="D17" s="63" t="s">
        <v>78</v>
      </c>
    </row>
    <row r="18" spans="1:4" ht="12.75" customHeight="1">
      <c r="A18" s="162"/>
      <c r="B18" s="165"/>
      <c r="C18" s="60" t="s">
        <v>1384</v>
      </c>
      <c r="D18" s="63">
        <v>4.5680317040951115</v>
      </c>
    </row>
    <row r="19" spans="1:4" ht="12.75" customHeight="1">
      <c r="A19" s="162"/>
      <c r="B19" s="164" t="s">
        <v>1363</v>
      </c>
      <c r="C19" s="60" t="s">
        <v>1301</v>
      </c>
      <c r="D19" s="63">
        <v>6.0105680317040955</v>
      </c>
    </row>
    <row r="20" spans="1:4" ht="12.75" customHeight="1">
      <c r="A20" s="163"/>
      <c r="B20" s="165"/>
      <c r="C20" s="60" t="s">
        <v>1385</v>
      </c>
      <c r="D20" s="63">
        <v>6.0105680317040955</v>
      </c>
    </row>
    <row r="21" spans="1:4" ht="14.25">
      <c r="A21" s="67" t="s">
        <v>1339</v>
      </c>
      <c r="B21" s="59" t="s">
        <v>1359</v>
      </c>
      <c r="C21" s="60" t="s">
        <v>1301</v>
      </c>
      <c r="D21" s="63">
        <v>2.5244385733157197</v>
      </c>
    </row>
    <row r="22" spans="1:4" ht="14.25">
      <c r="A22" s="67" t="s">
        <v>1340</v>
      </c>
      <c r="B22" s="59" t="s">
        <v>1359</v>
      </c>
      <c r="C22" s="60" t="s">
        <v>1301</v>
      </c>
      <c r="D22" s="61" t="s">
        <v>1307</v>
      </c>
    </row>
    <row r="23" spans="1:4" ht="14.25">
      <c r="A23" s="68" t="s">
        <v>1341</v>
      </c>
      <c r="B23" s="59" t="s">
        <v>1359</v>
      </c>
      <c r="C23" s="60" t="s">
        <v>1301</v>
      </c>
      <c r="D23" s="63">
        <v>2.3561426684280051</v>
      </c>
    </row>
    <row r="24" spans="1:4" ht="37.5" customHeight="1">
      <c r="A24" s="158" t="s">
        <v>1395</v>
      </c>
      <c r="B24" s="159"/>
      <c r="C24" s="159"/>
      <c r="D24" s="160">
        <v>0</v>
      </c>
    </row>
    <row r="25" spans="1:4" ht="12.75" customHeight="1">
      <c r="A25" s="166" t="s">
        <v>1342</v>
      </c>
      <c r="B25" s="59" t="s">
        <v>1365</v>
      </c>
      <c r="C25" s="60" t="s">
        <v>1387</v>
      </c>
      <c r="D25" s="61" t="s">
        <v>1307</v>
      </c>
    </row>
    <row r="26" spans="1:4" ht="12.75" customHeight="1">
      <c r="A26" s="167"/>
      <c r="B26" s="59" t="s">
        <v>1366</v>
      </c>
      <c r="C26" s="60" t="s">
        <v>1387</v>
      </c>
      <c r="D26" s="61" t="s">
        <v>1307</v>
      </c>
    </row>
    <row r="27" spans="1:4" ht="12.75" customHeight="1">
      <c r="A27" s="167"/>
      <c r="B27" s="59" t="s">
        <v>1367</v>
      </c>
      <c r="C27" s="60" t="s">
        <v>1387</v>
      </c>
      <c r="D27" s="61" t="s">
        <v>1307</v>
      </c>
    </row>
    <row r="28" spans="1:4" ht="12.75" customHeight="1">
      <c r="A28" s="167"/>
      <c r="B28" s="59" t="s">
        <v>1368</v>
      </c>
      <c r="C28" s="60" t="s">
        <v>1388</v>
      </c>
      <c r="D28" s="61" t="s">
        <v>1307</v>
      </c>
    </row>
    <row r="29" spans="1:4" ht="12.75" customHeight="1">
      <c r="A29" s="167"/>
      <c r="B29" s="59" t="s">
        <v>1369</v>
      </c>
      <c r="C29" s="60" t="s">
        <v>1387</v>
      </c>
      <c r="D29" s="61" t="s">
        <v>1307</v>
      </c>
    </row>
    <row r="30" spans="1:4" ht="12.75" customHeight="1">
      <c r="A30" s="167"/>
      <c r="B30" s="59" t="s">
        <v>1370</v>
      </c>
      <c r="C30" s="60" t="s">
        <v>1389</v>
      </c>
      <c r="D30" s="63">
        <v>6.4729194187582557</v>
      </c>
    </row>
    <row r="31" spans="1:4" ht="12.75" customHeight="1">
      <c r="A31" s="167"/>
      <c r="B31" s="59" t="s">
        <v>1371</v>
      </c>
      <c r="C31" s="60" t="s">
        <v>1389</v>
      </c>
      <c r="D31" s="63">
        <v>6.2417437252311743</v>
      </c>
    </row>
    <row r="32" spans="1:4" ht="12.75" customHeight="1">
      <c r="A32" s="167"/>
      <c r="B32" s="59" t="s">
        <v>1372</v>
      </c>
      <c r="C32" s="60" t="s">
        <v>1390</v>
      </c>
      <c r="D32" s="63">
        <v>5.5482166446499335</v>
      </c>
    </row>
    <row r="33" spans="1:4" ht="12.75" customHeight="1">
      <c r="A33" s="167"/>
      <c r="B33" s="59" t="s">
        <v>1372</v>
      </c>
      <c r="C33" s="60" t="s">
        <v>1389</v>
      </c>
      <c r="D33" s="63">
        <v>5.5482166446499335</v>
      </c>
    </row>
    <row r="34" spans="1:4" ht="12.75" customHeight="1">
      <c r="A34" s="167"/>
      <c r="B34" s="59" t="s">
        <v>1373</v>
      </c>
      <c r="C34" s="60" t="s">
        <v>1389</v>
      </c>
      <c r="D34" s="63">
        <v>4.3923381770145307</v>
      </c>
    </row>
    <row r="35" spans="1:4" ht="12.75" customHeight="1">
      <c r="A35" s="167"/>
      <c r="B35" s="59" t="s">
        <v>1397</v>
      </c>
      <c r="C35" s="60" t="s">
        <v>1389</v>
      </c>
      <c r="D35" s="63">
        <v>13.408190224570673</v>
      </c>
    </row>
    <row r="36" spans="1:4" ht="12.75" customHeight="1">
      <c r="A36" s="167"/>
      <c r="B36" s="59" t="s">
        <v>1398</v>
      </c>
      <c r="C36" s="60" t="s">
        <v>1385</v>
      </c>
      <c r="D36" s="63">
        <v>13.870541611624834</v>
      </c>
    </row>
    <row r="37" spans="1:4" ht="12.75" customHeight="1">
      <c r="A37" s="167"/>
      <c r="B37" s="59" t="s">
        <v>1397</v>
      </c>
      <c r="C37" s="60" t="s">
        <v>1389</v>
      </c>
      <c r="D37" s="63">
        <v>14.910832232496697</v>
      </c>
    </row>
    <row r="38" spans="1:4" ht="12.75" customHeight="1">
      <c r="A38" s="168"/>
      <c r="B38" s="153" t="s">
        <v>1374</v>
      </c>
      <c r="C38" s="60" t="s">
        <v>1389</v>
      </c>
      <c r="D38" s="63">
        <v>14.910832232496697</v>
      </c>
    </row>
    <row r="39" spans="1:4" ht="14.25">
      <c r="A39" s="69" t="s">
        <v>1343</v>
      </c>
      <c r="B39" s="59"/>
      <c r="C39" s="60" t="s">
        <v>1389</v>
      </c>
      <c r="D39" s="63">
        <v>2.889696169088507</v>
      </c>
    </row>
    <row r="40" spans="1:4" ht="14.25">
      <c r="A40" s="69" t="s">
        <v>1344</v>
      </c>
      <c r="B40" s="59"/>
      <c r="C40" s="60" t="s">
        <v>1389</v>
      </c>
      <c r="D40" s="63">
        <v>2.889696169088507</v>
      </c>
    </row>
    <row r="41" spans="1:4" ht="14.25">
      <c r="A41" s="69" t="s">
        <v>1345</v>
      </c>
      <c r="B41" s="59"/>
      <c r="C41" s="60" t="s">
        <v>1385</v>
      </c>
      <c r="D41" s="63">
        <v>3.5832232496697487</v>
      </c>
    </row>
    <row r="42" spans="1:4" ht="12.75" customHeight="1">
      <c r="A42" s="161" t="s">
        <v>1346</v>
      </c>
      <c r="B42" s="59" t="s">
        <v>1250</v>
      </c>
      <c r="C42" s="60" t="s">
        <v>1387</v>
      </c>
      <c r="D42" s="63">
        <v>2.889696169088507</v>
      </c>
    </row>
    <row r="43" spans="1:4" ht="12.75" customHeight="1">
      <c r="A43" s="162"/>
      <c r="B43" s="59" t="s">
        <v>1375</v>
      </c>
      <c r="C43" s="60" t="s">
        <v>1387</v>
      </c>
      <c r="D43" s="63">
        <v>2.889696169088507</v>
      </c>
    </row>
    <row r="44" spans="1:4" ht="12.75" customHeight="1">
      <c r="A44" s="163"/>
      <c r="B44" s="59" t="s">
        <v>1369</v>
      </c>
      <c r="C44" s="60" t="s">
        <v>1387</v>
      </c>
      <c r="D44" s="63">
        <v>2.889696169088507</v>
      </c>
    </row>
    <row r="45" spans="1:4" ht="14.25">
      <c r="A45" s="67" t="s">
        <v>1347</v>
      </c>
      <c r="B45" s="59" t="s">
        <v>1369</v>
      </c>
      <c r="C45" s="60" t="s">
        <v>1387</v>
      </c>
      <c r="D45" s="61" t="s">
        <v>1307</v>
      </c>
    </row>
    <row r="46" spans="1:4" ht="14.25">
      <c r="A46" s="67" t="s">
        <v>1348</v>
      </c>
      <c r="B46" s="59" t="s">
        <v>1375</v>
      </c>
      <c r="C46" s="60" t="s">
        <v>1387</v>
      </c>
      <c r="D46" s="61" t="s">
        <v>1307</v>
      </c>
    </row>
    <row r="47" spans="1:4" ht="14.25">
      <c r="A47" s="69" t="s">
        <v>1349</v>
      </c>
      <c r="B47" s="59" t="s">
        <v>1369</v>
      </c>
      <c r="C47" s="60" t="s">
        <v>1391</v>
      </c>
      <c r="D47" s="61" t="s">
        <v>1307</v>
      </c>
    </row>
    <row r="48" spans="1:4" ht="14.25">
      <c r="A48" s="69" t="s">
        <v>1350</v>
      </c>
      <c r="B48" s="59" t="s">
        <v>1369</v>
      </c>
      <c r="C48" s="60" t="s">
        <v>1391</v>
      </c>
      <c r="D48" s="63">
        <v>2.459709379128137</v>
      </c>
    </row>
    <row r="49" spans="1:4" ht="41.25" customHeight="1">
      <c r="A49" s="158" t="s">
        <v>1393</v>
      </c>
      <c r="B49" s="159"/>
      <c r="C49" s="159"/>
      <c r="D49" s="160"/>
    </row>
    <row r="50" spans="1:4" ht="12.75" customHeight="1">
      <c r="A50" s="161" t="s">
        <v>1351</v>
      </c>
      <c r="B50" s="60" t="s">
        <v>1376</v>
      </c>
      <c r="C50" s="60" t="s">
        <v>1392</v>
      </c>
      <c r="D50" s="63">
        <v>1.2021136063408189</v>
      </c>
    </row>
    <row r="51" spans="1:4" ht="12.75" customHeight="1">
      <c r="A51" s="162"/>
      <c r="B51" s="59" t="s">
        <v>1377</v>
      </c>
      <c r="C51" s="60" t="s">
        <v>1385</v>
      </c>
      <c r="D51" s="63">
        <v>1.3223249669749009</v>
      </c>
    </row>
    <row r="52" spans="1:4" ht="12.75" customHeight="1">
      <c r="A52" s="163"/>
      <c r="B52" s="60" t="s">
        <v>1378</v>
      </c>
      <c r="C52" s="60" t="s">
        <v>1385</v>
      </c>
      <c r="D52" s="63">
        <v>1.346367239101717</v>
      </c>
    </row>
    <row r="53" spans="1:4" ht="12.75" customHeight="1">
      <c r="A53" s="161" t="s">
        <v>1352</v>
      </c>
      <c r="B53" s="60" t="s">
        <v>1375</v>
      </c>
      <c r="C53" s="60" t="s">
        <v>1301</v>
      </c>
      <c r="D53" s="63">
        <v>0.88956406869220606</v>
      </c>
    </row>
    <row r="54" spans="1:4" ht="12.75" customHeight="1">
      <c r="A54" s="162"/>
      <c r="B54" s="164" t="s">
        <v>1379</v>
      </c>
      <c r="C54" s="60" t="s">
        <v>1385</v>
      </c>
      <c r="D54" s="63">
        <v>1.0819022457067369</v>
      </c>
    </row>
    <row r="55" spans="1:4" ht="12.75" customHeight="1">
      <c r="A55" s="162"/>
      <c r="B55" s="165"/>
      <c r="C55" s="60" t="s">
        <v>1301</v>
      </c>
      <c r="D55" s="63">
        <v>1.0819022457067369</v>
      </c>
    </row>
    <row r="56" spans="1:4" ht="12.75" customHeight="1">
      <c r="A56" s="162"/>
      <c r="B56" s="164" t="s">
        <v>1380</v>
      </c>
      <c r="C56" s="60" t="s">
        <v>1385</v>
      </c>
      <c r="D56" s="63">
        <v>1.1299867899603699</v>
      </c>
    </row>
    <row r="57" spans="1:4" ht="12.75" customHeight="1">
      <c r="A57" s="163"/>
      <c r="B57" s="165"/>
      <c r="C57" s="60" t="s">
        <v>1301</v>
      </c>
      <c r="D57" s="63">
        <v>1.0819022457067369</v>
      </c>
    </row>
    <row r="58" spans="1:4" ht="12.75" customHeight="1">
      <c r="A58" s="161" t="s">
        <v>1353</v>
      </c>
      <c r="B58" s="164" t="s">
        <v>1381</v>
      </c>
      <c r="C58" s="60" t="s">
        <v>1385</v>
      </c>
      <c r="D58" s="63">
        <v>1.0819022457067369</v>
      </c>
    </row>
    <row r="59" spans="1:4" ht="12.75" customHeight="1">
      <c r="A59" s="162"/>
      <c r="B59" s="165"/>
      <c r="C59" s="60" t="s">
        <v>1301</v>
      </c>
      <c r="D59" s="63">
        <v>1.0097754293262879</v>
      </c>
    </row>
    <row r="60" spans="1:4" ht="12.75" customHeight="1">
      <c r="A60" s="162"/>
      <c r="B60" s="164" t="s">
        <v>1382</v>
      </c>
      <c r="C60" s="60" t="s">
        <v>1387</v>
      </c>
      <c r="D60" s="63">
        <v>1.0819022457067369</v>
      </c>
    </row>
    <row r="61" spans="1:4" ht="12.75" customHeight="1">
      <c r="A61" s="163"/>
      <c r="B61" s="165"/>
      <c r="C61" s="60" t="s">
        <v>1306</v>
      </c>
      <c r="D61" s="63">
        <v>1.0097754293262879</v>
      </c>
    </row>
    <row r="62" spans="1:4" ht="12.75" customHeight="1">
      <c r="A62" s="161" t="s">
        <v>1354</v>
      </c>
      <c r="B62" s="164" t="s">
        <v>1381</v>
      </c>
      <c r="C62" s="60" t="s">
        <v>1385</v>
      </c>
      <c r="D62" s="63">
        <v>1.0819022457067369</v>
      </c>
    </row>
    <row r="63" spans="1:4" ht="12.75" customHeight="1">
      <c r="A63" s="162"/>
      <c r="B63" s="165"/>
      <c r="C63" s="60" t="s">
        <v>1301</v>
      </c>
      <c r="D63" s="63">
        <v>1.0338177014531043</v>
      </c>
    </row>
    <row r="64" spans="1:4" ht="12.75" customHeight="1">
      <c r="A64" s="162"/>
      <c r="B64" s="164" t="s">
        <v>1382</v>
      </c>
      <c r="C64" s="60" t="s">
        <v>1387</v>
      </c>
      <c r="D64" s="63">
        <v>1.2021136063408189</v>
      </c>
    </row>
    <row r="65" spans="1:40" ht="12.75" customHeight="1">
      <c r="A65" s="163"/>
      <c r="B65" s="165"/>
      <c r="C65" s="60" t="s">
        <v>1301</v>
      </c>
      <c r="D65" s="63" t="s">
        <v>78</v>
      </c>
    </row>
    <row r="66" spans="1:40" ht="14.25">
      <c r="A66" s="66" t="s">
        <v>1355</v>
      </c>
      <c r="B66" s="59" t="s">
        <v>1369</v>
      </c>
      <c r="C66" s="60" t="s">
        <v>1385</v>
      </c>
      <c r="D66" s="63">
        <v>1.8031704095112282</v>
      </c>
    </row>
    <row r="67" spans="1:40" ht="14.25">
      <c r="A67" s="66" t="s">
        <v>1356</v>
      </c>
      <c r="B67" s="59" t="s">
        <v>1369</v>
      </c>
      <c r="C67" s="60" t="s">
        <v>1301</v>
      </c>
      <c r="D67" s="63">
        <v>1.8262879788639366</v>
      </c>
    </row>
    <row r="68" spans="1:40" ht="14.25">
      <c r="A68" s="66" t="s">
        <v>1357</v>
      </c>
      <c r="B68" s="59" t="s">
        <v>1369</v>
      </c>
      <c r="C68" s="60" t="s">
        <v>1392</v>
      </c>
      <c r="D68" s="63">
        <v>1.5719947159841479</v>
      </c>
    </row>
    <row r="69" spans="1:40">
      <c r="A69" s="12"/>
      <c r="B69" s="12"/>
      <c r="C69" s="12"/>
      <c r="D69" s="64"/>
    </row>
    <row r="70" spans="1:40" ht="33" customHeight="1">
      <c r="A70" s="158" t="s">
        <v>1400</v>
      </c>
      <c r="B70" s="159"/>
      <c r="C70" s="160"/>
      <c r="D70" s="72" t="s">
        <v>1396</v>
      </c>
    </row>
    <row r="71" spans="1:40" s="58" customFormat="1" ht="14.25" customHeight="1">
      <c r="A71" s="150" t="s">
        <v>1319</v>
      </c>
      <c r="B71" s="151"/>
      <c r="C71" s="152"/>
      <c r="D71" s="61" t="s">
        <v>1307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58" customFormat="1" ht="14.25" customHeight="1">
      <c r="A72" s="150" t="s">
        <v>1320</v>
      </c>
      <c r="B72" s="151"/>
      <c r="C72" s="152"/>
      <c r="D72" s="61" t="s">
        <v>1307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58" customFormat="1" ht="14.25" customHeight="1">
      <c r="A73" s="150" t="s">
        <v>1321</v>
      </c>
      <c r="B73" s="151"/>
      <c r="C73" s="152"/>
      <c r="D73" s="61" t="s">
        <v>1307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58" customFormat="1" ht="14.25" customHeight="1">
      <c r="A74" s="150" t="s">
        <v>1322</v>
      </c>
      <c r="B74" s="151"/>
      <c r="C74" s="152"/>
      <c r="D74" s="61" t="s">
        <v>1307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58" customFormat="1" ht="14.25" customHeight="1">
      <c r="A75" s="150" t="s">
        <v>1323</v>
      </c>
      <c r="B75" s="151"/>
      <c r="C75" s="152"/>
      <c r="D75" s="61" t="s">
        <v>1307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58" customFormat="1" ht="14.25" customHeight="1">
      <c r="A76" s="150" t="s">
        <v>1324</v>
      </c>
      <c r="B76" s="151"/>
      <c r="C76" s="152"/>
      <c r="D76" s="61" t="s">
        <v>1307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58" customFormat="1" ht="14.25" customHeight="1">
      <c r="A77" s="150" t="s">
        <v>1325</v>
      </c>
      <c r="B77" s="151"/>
      <c r="C77" s="152"/>
      <c r="D77" s="61" t="s">
        <v>1307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58" customFormat="1" ht="14.25" customHeight="1">
      <c r="A78" s="150" t="s">
        <v>1326</v>
      </c>
      <c r="B78" s="151"/>
      <c r="C78" s="152"/>
      <c r="D78" s="61" t="s">
        <v>1307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58" customFormat="1" ht="14.25" customHeight="1">
      <c r="A79" s="150" t="s">
        <v>1327</v>
      </c>
      <c r="B79" s="151"/>
      <c r="C79" s="152"/>
      <c r="D79" s="61" t="s">
        <v>1307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58" customFormat="1" ht="14.25" customHeight="1">
      <c r="A80" s="150" t="s">
        <v>1328</v>
      </c>
      <c r="B80" s="151"/>
      <c r="C80" s="152"/>
      <c r="D80" s="61" t="s">
        <v>1307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58" customFormat="1" ht="14.25" customHeight="1">
      <c r="A81" s="150" t="s">
        <v>1329</v>
      </c>
      <c r="B81" s="151"/>
      <c r="C81" s="152"/>
      <c r="D81" s="61" t="s">
        <v>1307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58" customFormat="1" ht="14.25" customHeight="1">
      <c r="A82" s="150" t="s">
        <v>1330</v>
      </c>
      <c r="B82" s="151"/>
      <c r="C82" s="152"/>
      <c r="D82" s="61" t="s">
        <v>1307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58" customFormat="1" ht="14.25" customHeight="1">
      <c r="A83" s="150" t="s">
        <v>1331</v>
      </c>
      <c r="B83" s="151"/>
      <c r="C83" s="152"/>
      <c r="D83" s="61" t="s">
        <v>1307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58" customFormat="1" ht="14.25" customHeight="1">
      <c r="A84" s="150" t="s">
        <v>1332</v>
      </c>
      <c r="B84" s="151"/>
      <c r="C84" s="152"/>
      <c r="D84" s="61" t="s">
        <v>1307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58" customFormat="1" ht="14.25" customHeight="1">
      <c r="A85" s="150" t="s">
        <v>1333</v>
      </c>
      <c r="B85" s="151"/>
      <c r="C85" s="152"/>
      <c r="D85" s="61" t="s">
        <v>1307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58" customFormat="1" ht="14.25" customHeight="1">
      <c r="A86" s="150" t="s">
        <v>1334</v>
      </c>
      <c r="B86" s="151"/>
      <c r="C86" s="152"/>
      <c r="D86" s="61" t="s">
        <v>1307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13.5" thickBot="1">
      <c r="A87"/>
      <c r="C87" s="13"/>
      <c r="D87" s="62"/>
    </row>
    <row r="88" spans="1:40" ht="15.75" thickBot="1">
      <c r="A88" s="82" t="s">
        <v>82</v>
      </c>
      <c r="B88" s="83" t="s">
        <v>83</v>
      </c>
      <c r="C88" s="84" t="s">
        <v>394</v>
      </c>
      <c r="D88" s="85"/>
      <c r="E88" s="86" t="s">
        <v>84</v>
      </c>
      <c r="F88" s="86" t="s">
        <v>85</v>
      </c>
      <c r="G88" s="87" t="s">
        <v>86</v>
      </c>
    </row>
    <row r="89" spans="1:40" ht="15">
      <c r="A89" s="94" t="s">
        <v>87</v>
      </c>
      <c r="B89" s="95">
        <v>165.1</v>
      </c>
      <c r="C89" s="96">
        <f t="shared" ref="C89:C109" si="0">(B89/70.4)*1.3</f>
        <v>3.0487215909090906</v>
      </c>
      <c r="D89" s="97" t="s">
        <v>88</v>
      </c>
      <c r="E89" s="98">
        <v>30</v>
      </c>
      <c r="F89" s="99" t="s">
        <v>89</v>
      </c>
      <c r="G89" s="100" t="s">
        <v>90</v>
      </c>
    </row>
    <row r="90" spans="1:40" ht="15">
      <c r="A90" s="94" t="s">
        <v>91</v>
      </c>
      <c r="B90" s="95">
        <v>78</v>
      </c>
      <c r="C90" s="96">
        <f t="shared" si="0"/>
        <v>1.4403409090909092</v>
      </c>
      <c r="D90" s="97" t="s">
        <v>88</v>
      </c>
      <c r="E90" s="98">
        <v>30</v>
      </c>
      <c r="F90" s="99" t="s">
        <v>89</v>
      </c>
      <c r="G90" s="100" t="s">
        <v>90</v>
      </c>
    </row>
    <row r="91" spans="1:40" ht="15">
      <c r="A91" s="94" t="s">
        <v>92</v>
      </c>
      <c r="B91" s="95">
        <v>131.30000000000001</v>
      </c>
      <c r="C91" s="96">
        <f t="shared" si="0"/>
        <v>2.4245738636363638</v>
      </c>
      <c r="D91" s="97" t="s">
        <v>88</v>
      </c>
      <c r="E91" s="98">
        <v>30</v>
      </c>
      <c r="F91" s="99" t="s">
        <v>89</v>
      </c>
      <c r="G91" s="100" t="s">
        <v>90</v>
      </c>
    </row>
    <row r="92" spans="1:40" ht="15">
      <c r="A92" s="94" t="s">
        <v>93</v>
      </c>
      <c r="B92" s="95">
        <v>171.6</v>
      </c>
      <c r="C92" s="96">
        <f t="shared" si="0"/>
        <v>3.1687499999999997</v>
      </c>
      <c r="D92" s="97" t="s">
        <v>88</v>
      </c>
      <c r="E92" s="98">
        <v>30</v>
      </c>
      <c r="F92" s="99" t="s">
        <v>89</v>
      </c>
      <c r="G92" s="100" t="s">
        <v>90</v>
      </c>
    </row>
    <row r="93" spans="1:40" ht="15">
      <c r="A93" s="94" t="s">
        <v>94</v>
      </c>
      <c r="B93" s="95">
        <v>94.9</v>
      </c>
      <c r="C93" s="96">
        <f t="shared" si="0"/>
        <v>1.7524147727272728</v>
      </c>
      <c r="D93" s="97" t="s">
        <v>88</v>
      </c>
      <c r="E93" s="98">
        <v>30</v>
      </c>
      <c r="F93" s="99" t="s">
        <v>89</v>
      </c>
      <c r="G93" s="100" t="s">
        <v>90</v>
      </c>
    </row>
    <row r="94" spans="1:40" ht="15">
      <c r="A94" s="94" t="s">
        <v>95</v>
      </c>
      <c r="B94" s="95">
        <v>678.6</v>
      </c>
      <c r="C94" s="96">
        <f t="shared" si="0"/>
        <v>12.530965909090909</v>
      </c>
      <c r="D94" s="97" t="s">
        <v>88</v>
      </c>
      <c r="E94" s="98">
        <v>24</v>
      </c>
      <c r="F94" s="99" t="s">
        <v>89</v>
      </c>
      <c r="G94" s="100" t="s">
        <v>90</v>
      </c>
    </row>
    <row r="95" spans="1:40" ht="15">
      <c r="A95" s="94" t="s">
        <v>96</v>
      </c>
      <c r="B95" s="95">
        <v>101.4</v>
      </c>
      <c r="C95" s="96">
        <f t="shared" si="0"/>
        <v>1.8724431818181817</v>
      </c>
      <c r="D95" s="97" t="s">
        <v>88</v>
      </c>
      <c r="E95" s="98">
        <v>30</v>
      </c>
      <c r="F95" s="99" t="s">
        <v>89</v>
      </c>
      <c r="G95" s="100" t="s">
        <v>90</v>
      </c>
    </row>
    <row r="96" spans="1:40" ht="15">
      <c r="A96" s="94" t="s">
        <v>97</v>
      </c>
      <c r="B96" s="95">
        <v>81.900000000000006</v>
      </c>
      <c r="C96" s="96">
        <f t="shared" si="0"/>
        <v>1.5123579545454546</v>
      </c>
      <c r="D96" s="97" t="s">
        <v>88</v>
      </c>
      <c r="E96" s="98">
        <v>30</v>
      </c>
      <c r="F96" s="99" t="s">
        <v>89</v>
      </c>
      <c r="G96" s="100" t="s">
        <v>90</v>
      </c>
    </row>
    <row r="97" spans="1:7" ht="15">
      <c r="A97" s="94" t="s">
        <v>92</v>
      </c>
      <c r="B97" s="95">
        <v>140.4</v>
      </c>
      <c r="C97" s="96">
        <f t="shared" si="0"/>
        <v>2.5926136363636361</v>
      </c>
      <c r="D97" s="97" t="s">
        <v>88</v>
      </c>
      <c r="E97" s="98">
        <v>30</v>
      </c>
      <c r="F97" s="99" t="s">
        <v>89</v>
      </c>
      <c r="G97" s="100" t="s">
        <v>90</v>
      </c>
    </row>
    <row r="98" spans="1:7" ht="15">
      <c r="A98" s="94" t="s">
        <v>98</v>
      </c>
      <c r="B98" s="95">
        <v>78</v>
      </c>
      <c r="C98" s="96">
        <f t="shared" si="0"/>
        <v>1.4403409090909092</v>
      </c>
      <c r="D98" s="97" t="s">
        <v>88</v>
      </c>
      <c r="E98" s="98">
        <v>30</v>
      </c>
      <c r="F98" s="99" t="s">
        <v>89</v>
      </c>
      <c r="G98" s="100" t="s">
        <v>90</v>
      </c>
    </row>
    <row r="99" spans="1:7" ht="15">
      <c r="A99" s="94" t="s">
        <v>99</v>
      </c>
      <c r="B99" s="95">
        <v>317.2</v>
      </c>
      <c r="C99" s="96">
        <f t="shared" si="0"/>
        <v>5.8573863636363628</v>
      </c>
      <c r="D99" s="101" t="s">
        <v>100</v>
      </c>
      <c r="E99" s="98">
        <v>10</v>
      </c>
      <c r="F99" s="99" t="s">
        <v>89</v>
      </c>
      <c r="G99" s="100" t="s">
        <v>90</v>
      </c>
    </row>
    <row r="100" spans="1:7" ht="15">
      <c r="A100" s="94" t="s">
        <v>101</v>
      </c>
      <c r="B100" s="95">
        <v>240.5</v>
      </c>
      <c r="C100" s="96">
        <f t="shared" si="0"/>
        <v>4.4410511363636367</v>
      </c>
      <c r="D100" s="101" t="s">
        <v>100</v>
      </c>
      <c r="E100" s="98">
        <v>10</v>
      </c>
      <c r="F100" s="99" t="s">
        <v>89</v>
      </c>
      <c r="G100" s="100" t="s">
        <v>90</v>
      </c>
    </row>
    <row r="101" spans="1:7" ht="15">
      <c r="A101" s="94" t="s">
        <v>102</v>
      </c>
      <c r="B101" s="95">
        <v>189.8</v>
      </c>
      <c r="C101" s="96">
        <f t="shared" si="0"/>
        <v>3.5048295454545455</v>
      </c>
      <c r="D101" s="101" t="s">
        <v>100</v>
      </c>
      <c r="E101" s="98">
        <v>10</v>
      </c>
      <c r="F101" s="99" t="s">
        <v>89</v>
      </c>
      <c r="G101" s="100" t="s">
        <v>90</v>
      </c>
    </row>
    <row r="102" spans="1:7" ht="15">
      <c r="A102" s="94" t="s">
        <v>103</v>
      </c>
      <c r="B102" s="95">
        <v>257.40000000000003</v>
      </c>
      <c r="C102" s="96">
        <f t="shared" si="0"/>
        <v>4.7531249999999998</v>
      </c>
      <c r="D102" s="101" t="s">
        <v>100</v>
      </c>
      <c r="E102" s="98">
        <v>10</v>
      </c>
      <c r="F102" s="99" t="s">
        <v>89</v>
      </c>
      <c r="G102" s="100" t="s">
        <v>90</v>
      </c>
    </row>
    <row r="103" spans="1:7" ht="15">
      <c r="A103" s="94" t="s">
        <v>104</v>
      </c>
      <c r="B103" s="95">
        <v>189.8</v>
      </c>
      <c r="C103" s="96">
        <f t="shared" si="0"/>
        <v>3.5048295454545455</v>
      </c>
      <c r="D103" s="101" t="s">
        <v>100</v>
      </c>
      <c r="E103" s="98">
        <v>10</v>
      </c>
      <c r="F103" s="99" t="s">
        <v>89</v>
      </c>
      <c r="G103" s="100" t="s">
        <v>90</v>
      </c>
    </row>
    <row r="104" spans="1:7" ht="15">
      <c r="A104" s="94" t="s">
        <v>105</v>
      </c>
      <c r="B104" s="95">
        <v>258.7</v>
      </c>
      <c r="C104" s="96">
        <f t="shared" si="0"/>
        <v>4.7771306818181811</v>
      </c>
      <c r="D104" s="101" t="s">
        <v>100</v>
      </c>
      <c r="E104" s="98">
        <v>10</v>
      </c>
      <c r="F104" s="99" t="s">
        <v>89</v>
      </c>
      <c r="G104" s="100" t="s">
        <v>90</v>
      </c>
    </row>
    <row r="105" spans="1:7" ht="15">
      <c r="A105" s="94" t="s">
        <v>106</v>
      </c>
      <c r="B105" s="95">
        <v>201.5</v>
      </c>
      <c r="C105" s="96">
        <f t="shared" si="0"/>
        <v>3.7208806818181817</v>
      </c>
      <c r="D105" s="101" t="s">
        <v>100</v>
      </c>
      <c r="E105" s="98">
        <v>10</v>
      </c>
      <c r="F105" s="99" t="s">
        <v>89</v>
      </c>
      <c r="G105" s="100" t="s">
        <v>90</v>
      </c>
    </row>
    <row r="106" spans="1:7" ht="15">
      <c r="A106" s="94" t="s">
        <v>107</v>
      </c>
      <c r="B106" s="95">
        <v>443.3</v>
      </c>
      <c r="C106" s="96">
        <f t="shared" si="0"/>
        <v>8.1859374999999996</v>
      </c>
      <c r="D106" s="101" t="s">
        <v>100</v>
      </c>
      <c r="E106" s="98">
        <v>10</v>
      </c>
      <c r="F106" s="99" t="s">
        <v>89</v>
      </c>
      <c r="G106" s="100" t="s">
        <v>90</v>
      </c>
    </row>
    <row r="107" spans="1:7" ht="15">
      <c r="A107" s="94" t="s">
        <v>108</v>
      </c>
      <c r="B107" s="95">
        <v>236.6</v>
      </c>
      <c r="C107" s="96">
        <f t="shared" si="0"/>
        <v>4.3690340909090901</v>
      </c>
      <c r="D107" s="97" t="s">
        <v>100</v>
      </c>
      <c r="E107" s="98">
        <v>10</v>
      </c>
      <c r="F107" s="98" t="s">
        <v>89</v>
      </c>
      <c r="G107" s="100" t="s">
        <v>90</v>
      </c>
    </row>
    <row r="108" spans="1:7" ht="15">
      <c r="A108" s="94" t="s">
        <v>109</v>
      </c>
      <c r="B108" s="95">
        <v>126.10000000000001</v>
      </c>
      <c r="C108" s="96">
        <f t="shared" si="0"/>
        <v>2.3285511363636364</v>
      </c>
      <c r="D108" s="97" t="s">
        <v>100</v>
      </c>
      <c r="E108" s="98">
        <v>10</v>
      </c>
      <c r="F108" s="98" t="s">
        <v>89</v>
      </c>
      <c r="G108" s="100" t="s">
        <v>90</v>
      </c>
    </row>
    <row r="109" spans="1:7" ht="15">
      <c r="A109" s="94" t="s">
        <v>110</v>
      </c>
      <c r="B109" s="95">
        <v>283.40000000000003</v>
      </c>
      <c r="C109" s="96">
        <f t="shared" si="0"/>
        <v>5.2332386363636365</v>
      </c>
      <c r="D109" s="101" t="s">
        <v>100</v>
      </c>
      <c r="E109" s="98">
        <v>10</v>
      </c>
      <c r="F109" s="99" t="s">
        <v>89</v>
      </c>
      <c r="G109" s="100" t="s">
        <v>90</v>
      </c>
    </row>
    <row r="110" spans="1:7">
      <c r="A110" s="13"/>
      <c r="B110" s="13"/>
      <c r="C110" s="13"/>
      <c r="D110" s="62"/>
    </row>
    <row r="111" spans="1:7">
      <c r="A111" s="13"/>
      <c r="B111" s="13"/>
      <c r="C111" s="13"/>
      <c r="D111" s="62"/>
    </row>
    <row r="112" spans="1:7">
      <c r="A112" s="13"/>
      <c r="B112" s="13"/>
      <c r="C112" s="13"/>
      <c r="D112" s="62"/>
    </row>
    <row r="113" spans="1:4">
      <c r="A113" s="13"/>
      <c r="B113" s="13"/>
      <c r="C113" s="13"/>
      <c r="D113" s="62"/>
    </row>
    <row r="114" spans="1:4">
      <c r="A114" s="13"/>
      <c r="B114" s="13"/>
      <c r="C114" s="13"/>
      <c r="D114" s="62"/>
    </row>
    <row r="115" spans="1:4">
      <c r="A115" s="13"/>
      <c r="B115" s="13"/>
      <c r="C115" s="13"/>
      <c r="D115" s="62"/>
    </row>
    <row r="116" spans="1:4">
      <c r="A116" s="13"/>
      <c r="B116" s="13"/>
      <c r="C116" s="13"/>
      <c r="D116" s="62"/>
    </row>
    <row r="117" spans="1:4">
      <c r="A117" s="13"/>
      <c r="B117" s="13"/>
      <c r="C117" s="13"/>
      <c r="D117" s="62"/>
    </row>
    <row r="118" spans="1:4">
      <c r="A118" s="13"/>
      <c r="B118" s="13"/>
      <c r="C118" s="13"/>
      <c r="D118" s="62"/>
    </row>
    <row r="119" spans="1:4">
      <c r="A119" s="13"/>
      <c r="B119" s="13"/>
      <c r="C119" s="13"/>
      <c r="D119" s="62"/>
    </row>
    <row r="120" spans="1:4">
      <c r="A120" s="13"/>
      <c r="B120" s="13"/>
      <c r="C120" s="13"/>
      <c r="D120" s="62"/>
    </row>
    <row r="121" spans="1:4">
      <c r="A121" s="13"/>
      <c r="B121" s="13"/>
      <c r="C121" s="13"/>
      <c r="D121" s="62"/>
    </row>
    <row r="122" spans="1:4">
      <c r="A122" s="13"/>
      <c r="B122" s="13"/>
      <c r="C122" s="13"/>
      <c r="D122" s="62"/>
    </row>
    <row r="123" spans="1:4">
      <c r="A123" s="13"/>
      <c r="B123" s="13"/>
      <c r="C123" s="13"/>
      <c r="D123" s="62"/>
    </row>
    <row r="124" spans="1:4">
      <c r="A124" s="13"/>
      <c r="B124" s="13"/>
      <c r="C124" s="13"/>
      <c r="D124" s="62"/>
    </row>
    <row r="125" spans="1:4">
      <c r="A125" s="13"/>
      <c r="B125" s="13"/>
      <c r="C125" s="13"/>
      <c r="D125" s="62"/>
    </row>
    <row r="126" spans="1:4">
      <c r="A126" s="13"/>
      <c r="B126" s="13"/>
      <c r="C126" s="13"/>
      <c r="D126" s="62"/>
    </row>
    <row r="127" spans="1:4">
      <c r="A127" s="13"/>
      <c r="B127" s="13"/>
      <c r="C127" s="13"/>
      <c r="D127" s="62"/>
    </row>
    <row r="128" spans="1:4">
      <c r="A128" s="13"/>
      <c r="B128" s="13"/>
      <c r="C128" s="13"/>
      <c r="D128" s="62"/>
    </row>
    <row r="129" spans="1:4">
      <c r="A129" s="13"/>
      <c r="B129" s="13"/>
      <c r="C129" s="13"/>
      <c r="D129" s="62"/>
    </row>
    <row r="130" spans="1:4">
      <c r="A130" s="13"/>
      <c r="B130" s="13"/>
      <c r="C130" s="13"/>
      <c r="D130" s="62"/>
    </row>
    <row r="131" spans="1:4">
      <c r="A131" s="13"/>
      <c r="B131" s="13"/>
      <c r="C131" s="13"/>
      <c r="D131" s="62"/>
    </row>
    <row r="132" spans="1:4">
      <c r="A132" s="13"/>
      <c r="B132" s="13"/>
      <c r="C132" s="13"/>
      <c r="D132" s="62"/>
    </row>
    <row r="133" spans="1:4">
      <c r="A133" s="13"/>
      <c r="B133" s="13"/>
      <c r="C133" s="13"/>
      <c r="D133" s="62"/>
    </row>
    <row r="134" spans="1:4">
      <c r="A134" s="13"/>
      <c r="B134" s="13"/>
      <c r="C134" s="13"/>
      <c r="D134" s="62"/>
    </row>
    <row r="135" spans="1:4">
      <c r="A135" s="13"/>
      <c r="B135" s="13"/>
      <c r="C135" s="13"/>
      <c r="D135" s="62"/>
    </row>
    <row r="136" spans="1:4">
      <c r="A136" s="13"/>
      <c r="B136" s="13"/>
      <c r="C136" s="13"/>
      <c r="D136" s="62"/>
    </row>
    <row r="137" spans="1:4">
      <c r="A137" s="13"/>
      <c r="B137" s="13"/>
      <c r="C137" s="13"/>
      <c r="D137" s="62"/>
    </row>
    <row r="138" spans="1:4">
      <c r="A138" s="13"/>
      <c r="B138" s="13"/>
      <c r="C138" s="13"/>
      <c r="D138" s="62"/>
    </row>
    <row r="139" spans="1:4">
      <c r="A139" s="13"/>
      <c r="B139" s="13"/>
      <c r="C139" s="13"/>
      <c r="D139" s="62"/>
    </row>
    <row r="140" spans="1:4">
      <c r="A140" s="13"/>
      <c r="B140" s="13"/>
      <c r="C140" s="13"/>
      <c r="D140" s="62"/>
    </row>
    <row r="141" spans="1:4">
      <c r="A141" s="13"/>
      <c r="B141" s="13"/>
      <c r="C141" s="13"/>
      <c r="D141" s="62"/>
    </row>
    <row r="142" spans="1:4">
      <c r="A142" s="13"/>
      <c r="B142" s="13"/>
      <c r="C142" s="13"/>
      <c r="D142" s="62"/>
    </row>
    <row r="143" spans="1:4">
      <c r="A143" s="13"/>
      <c r="B143" s="13"/>
      <c r="C143" s="13"/>
      <c r="D143" s="62"/>
    </row>
    <row r="144" spans="1:4">
      <c r="A144" s="13"/>
      <c r="B144" s="13"/>
      <c r="C144" s="13"/>
      <c r="D144" s="62"/>
    </row>
    <row r="145" spans="1:4">
      <c r="A145" s="13"/>
      <c r="B145" s="13"/>
      <c r="C145" s="13"/>
      <c r="D145" s="62"/>
    </row>
    <row r="146" spans="1:4">
      <c r="A146" s="13"/>
      <c r="B146" s="13"/>
      <c r="C146" s="13"/>
      <c r="D146" s="62"/>
    </row>
    <row r="147" spans="1:4">
      <c r="A147" s="13"/>
      <c r="B147" s="13"/>
      <c r="C147" s="13"/>
      <c r="D147" s="62"/>
    </row>
    <row r="148" spans="1:4">
      <c r="A148" s="13"/>
      <c r="B148" s="13"/>
      <c r="C148" s="13"/>
      <c r="D148" s="62"/>
    </row>
    <row r="149" spans="1:4">
      <c r="A149" s="13"/>
      <c r="B149" s="13"/>
      <c r="C149" s="13"/>
      <c r="D149" s="62"/>
    </row>
    <row r="150" spans="1:4">
      <c r="A150" s="13"/>
      <c r="B150" s="13"/>
      <c r="C150" s="13"/>
      <c r="D150" s="62"/>
    </row>
    <row r="151" spans="1:4">
      <c r="A151" s="13"/>
      <c r="B151" s="13"/>
      <c r="C151" s="13"/>
      <c r="D151" s="62"/>
    </row>
    <row r="152" spans="1:4">
      <c r="A152" s="13"/>
      <c r="B152" s="13"/>
      <c r="C152" s="13"/>
      <c r="D152" s="62"/>
    </row>
    <row r="153" spans="1:4">
      <c r="A153" s="13"/>
      <c r="B153" s="13"/>
      <c r="C153" s="13"/>
      <c r="D153" s="62"/>
    </row>
    <row r="154" spans="1:4">
      <c r="A154" s="13"/>
      <c r="B154" s="13"/>
      <c r="C154" s="13"/>
      <c r="D154" s="62"/>
    </row>
    <row r="155" spans="1:4">
      <c r="A155" s="13"/>
      <c r="B155" s="13"/>
      <c r="C155" s="13"/>
      <c r="D155" s="62"/>
    </row>
    <row r="156" spans="1:4">
      <c r="A156" s="13"/>
      <c r="B156" s="13"/>
      <c r="C156" s="13"/>
      <c r="D156" s="62"/>
    </row>
    <row r="157" spans="1:4">
      <c r="A157" s="13"/>
      <c r="B157" s="13"/>
      <c r="C157" s="13"/>
      <c r="D157" s="62"/>
    </row>
    <row r="158" spans="1:4">
      <c r="A158" s="13"/>
      <c r="B158" s="13"/>
      <c r="C158" s="13"/>
      <c r="D158" s="62"/>
    </row>
    <row r="159" spans="1:4">
      <c r="A159" s="13"/>
      <c r="B159" s="13"/>
      <c r="C159" s="13"/>
      <c r="D159" s="62"/>
    </row>
    <row r="160" spans="1:4">
      <c r="A160" s="13"/>
      <c r="B160" s="13"/>
      <c r="C160" s="13"/>
      <c r="D160" s="62"/>
    </row>
    <row r="161" spans="1:4">
      <c r="A161" s="13"/>
      <c r="B161" s="13"/>
      <c r="C161" s="13"/>
      <c r="D161" s="62"/>
    </row>
    <row r="162" spans="1:4">
      <c r="A162" s="13"/>
      <c r="B162" s="13"/>
      <c r="C162" s="13"/>
      <c r="D162" s="62"/>
    </row>
    <row r="163" spans="1:4">
      <c r="A163" s="13"/>
      <c r="B163" s="13"/>
      <c r="C163" s="13"/>
      <c r="D163" s="62"/>
    </row>
    <row r="164" spans="1:4">
      <c r="A164" s="13"/>
      <c r="B164" s="13"/>
      <c r="C164" s="13"/>
      <c r="D164" s="62"/>
    </row>
    <row r="165" spans="1:4">
      <c r="A165" s="13"/>
      <c r="B165" s="13"/>
      <c r="C165" s="13"/>
      <c r="D165" s="62"/>
    </row>
    <row r="166" spans="1:4">
      <c r="A166" s="13"/>
      <c r="B166" s="13"/>
      <c r="C166" s="13"/>
      <c r="D166" s="62"/>
    </row>
    <row r="167" spans="1:4">
      <c r="A167" s="13"/>
      <c r="B167" s="13"/>
      <c r="C167" s="13"/>
      <c r="D167" s="62"/>
    </row>
    <row r="168" spans="1:4">
      <c r="A168" s="13"/>
      <c r="B168" s="13"/>
      <c r="C168" s="13"/>
      <c r="D168" s="62"/>
    </row>
    <row r="169" spans="1:4">
      <c r="A169" s="13"/>
      <c r="B169" s="13"/>
      <c r="C169" s="13"/>
      <c r="D169" s="62"/>
    </row>
    <row r="170" spans="1:4">
      <c r="A170" s="13"/>
      <c r="B170" s="13"/>
      <c r="C170" s="13"/>
      <c r="D170" s="62"/>
    </row>
    <row r="171" spans="1:4">
      <c r="A171" s="13"/>
      <c r="B171" s="13"/>
      <c r="C171" s="13"/>
      <c r="D171" s="62"/>
    </row>
    <row r="172" spans="1:4">
      <c r="A172" s="13"/>
      <c r="B172" s="13"/>
      <c r="C172" s="13"/>
      <c r="D172" s="62"/>
    </row>
    <row r="173" spans="1:4">
      <c r="A173" s="13"/>
      <c r="B173" s="13"/>
      <c r="C173" s="13"/>
      <c r="D173" s="62"/>
    </row>
    <row r="174" spans="1:4">
      <c r="A174" s="13"/>
      <c r="B174" s="13"/>
      <c r="C174" s="13"/>
      <c r="D174" s="62"/>
    </row>
    <row r="175" spans="1:4">
      <c r="A175" s="13"/>
      <c r="B175" s="13"/>
      <c r="C175" s="13"/>
      <c r="D175" s="62"/>
    </row>
    <row r="176" spans="1:4">
      <c r="A176" s="13"/>
      <c r="B176" s="13"/>
      <c r="C176" s="13"/>
      <c r="D176" s="62"/>
    </row>
    <row r="177" spans="1:4">
      <c r="A177" s="13"/>
      <c r="B177" s="13"/>
      <c r="C177" s="13"/>
      <c r="D177" s="62"/>
    </row>
    <row r="178" spans="1:4">
      <c r="A178" s="13"/>
      <c r="B178" s="13"/>
      <c r="C178" s="13"/>
      <c r="D178" s="62"/>
    </row>
    <row r="179" spans="1:4">
      <c r="A179" s="13"/>
      <c r="B179" s="13"/>
      <c r="C179" s="13"/>
      <c r="D179" s="62"/>
    </row>
    <row r="180" spans="1:4">
      <c r="A180" s="13"/>
      <c r="B180" s="13"/>
      <c r="C180" s="13"/>
      <c r="D180" s="62"/>
    </row>
    <row r="181" spans="1:4">
      <c r="A181" s="13"/>
      <c r="B181" s="13"/>
      <c r="C181" s="13"/>
      <c r="D181" s="62"/>
    </row>
    <row r="182" spans="1:4">
      <c r="A182" s="13"/>
      <c r="B182" s="13"/>
      <c r="C182" s="13"/>
      <c r="D182" s="62"/>
    </row>
    <row r="183" spans="1:4">
      <c r="A183" s="13"/>
      <c r="B183" s="13"/>
      <c r="C183" s="13"/>
      <c r="D183" s="62"/>
    </row>
    <row r="184" spans="1:4">
      <c r="A184" s="13"/>
      <c r="B184" s="13"/>
      <c r="C184" s="13"/>
      <c r="D184" s="62"/>
    </row>
    <row r="185" spans="1:4">
      <c r="A185" s="13"/>
      <c r="B185" s="13"/>
      <c r="C185" s="13"/>
      <c r="D185" s="62"/>
    </row>
    <row r="186" spans="1:4">
      <c r="A186" s="13"/>
      <c r="B186" s="13"/>
      <c r="C186" s="13"/>
      <c r="D186" s="62"/>
    </row>
    <row r="187" spans="1:4">
      <c r="A187" s="13"/>
      <c r="B187" s="13"/>
      <c r="C187" s="13"/>
      <c r="D187" s="62"/>
    </row>
    <row r="188" spans="1:4">
      <c r="A188" s="13"/>
      <c r="B188" s="13"/>
      <c r="C188" s="13"/>
      <c r="D188" s="62"/>
    </row>
    <row r="189" spans="1:4">
      <c r="A189" s="13"/>
      <c r="B189" s="13"/>
      <c r="C189" s="13"/>
      <c r="D189" s="62"/>
    </row>
    <row r="190" spans="1:4">
      <c r="A190" s="13"/>
      <c r="B190" s="13"/>
      <c r="C190" s="13"/>
      <c r="D190" s="62"/>
    </row>
    <row r="191" spans="1:4">
      <c r="A191" s="13"/>
      <c r="B191" s="13"/>
      <c r="C191" s="13"/>
      <c r="D191" s="62"/>
    </row>
    <row r="192" spans="1:4">
      <c r="A192" s="13"/>
      <c r="B192" s="13"/>
      <c r="C192" s="13"/>
      <c r="D192" s="62"/>
    </row>
    <row r="193" spans="1:4">
      <c r="A193" s="13"/>
      <c r="B193" s="13"/>
      <c r="C193" s="13"/>
      <c r="D193" s="62"/>
    </row>
    <row r="194" spans="1:4">
      <c r="A194" s="13"/>
      <c r="B194" s="13"/>
      <c r="C194" s="13"/>
      <c r="D194" s="62"/>
    </row>
    <row r="195" spans="1:4">
      <c r="A195" s="13"/>
      <c r="B195" s="13"/>
      <c r="C195" s="13"/>
      <c r="D195" s="62"/>
    </row>
    <row r="196" spans="1:4">
      <c r="A196" s="13"/>
      <c r="B196" s="13"/>
      <c r="C196" s="13"/>
      <c r="D196" s="62"/>
    </row>
  </sheetData>
  <mergeCells count="28">
    <mergeCell ref="B56:B57"/>
    <mergeCell ref="B54:B55"/>
    <mergeCell ref="B62:B63"/>
    <mergeCell ref="B64:B65"/>
    <mergeCell ref="B58:B59"/>
    <mergeCell ref="A25:A38"/>
    <mergeCell ref="A42:A44"/>
    <mergeCell ref="A50:A52"/>
    <mergeCell ref="A53:A57"/>
    <mergeCell ref="A58:A61"/>
    <mergeCell ref="A62:A65"/>
    <mergeCell ref="B60:B61"/>
    <mergeCell ref="B9:B10"/>
    <mergeCell ref="B11:B12"/>
    <mergeCell ref="B13:B14"/>
    <mergeCell ref="B15:B16"/>
    <mergeCell ref="B17:B18"/>
    <mergeCell ref="B19:B20"/>
    <mergeCell ref="A70:C70"/>
    <mergeCell ref="A3:A6"/>
    <mergeCell ref="A9:A12"/>
    <mergeCell ref="A1:D1"/>
    <mergeCell ref="A24:D24"/>
    <mergeCell ref="A49:D49"/>
    <mergeCell ref="A13:A16"/>
    <mergeCell ref="A17:A20"/>
    <mergeCell ref="B3:B4"/>
    <mergeCell ref="B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8"/>
  <sheetViews>
    <sheetView zoomScale="68" zoomScaleNormal="68" workbookViewId="0">
      <selection activeCell="G14" sqref="G14"/>
    </sheetView>
  </sheetViews>
  <sheetFormatPr defaultRowHeight="12.75"/>
  <cols>
    <col min="1" max="1" width="73.7109375" style="34" customWidth="1"/>
    <col min="2" max="2" width="26.85546875" style="34" customWidth="1"/>
    <col min="3" max="3" width="13.5703125" style="35" customWidth="1"/>
    <col min="4" max="4" width="9.140625" style="34"/>
  </cols>
  <sheetData>
    <row r="1" spans="1:22" ht="46.5" customHeight="1">
      <c r="A1" s="169" t="s">
        <v>1308</v>
      </c>
      <c r="B1" s="170"/>
      <c r="C1" s="171"/>
    </row>
    <row r="2" spans="1:22" s="33" customFormat="1" ht="19.5" customHeight="1">
      <c r="A2" s="79" t="s">
        <v>0</v>
      </c>
      <c r="B2" s="80" t="s">
        <v>1294</v>
      </c>
      <c r="C2" s="81" t="s">
        <v>1257</v>
      </c>
      <c r="D2" s="34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3" customFormat="1" ht="24" customHeight="1">
      <c r="A3" s="37" t="s">
        <v>1258</v>
      </c>
      <c r="B3" s="36" t="s">
        <v>1295</v>
      </c>
      <c r="C3" s="38">
        <v>13.3914375</v>
      </c>
      <c r="D3" s="34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3" customFormat="1" ht="24" customHeight="1">
      <c r="A4" s="39" t="s">
        <v>1259</v>
      </c>
      <c r="B4" s="24" t="s">
        <v>1295</v>
      </c>
      <c r="C4" s="40">
        <v>9.6794250000000002</v>
      </c>
      <c r="D4" s="3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s="3" customFormat="1" ht="24" customHeight="1">
      <c r="A5" s="41" t="s">
        <v>1260</v>
      </c>
      <c r="B5" s="25" t="s">
        <v>1296</v>
      </c>
      <c r="C5" s="40" t="s">
        <v>1307</v>
      </c>
      <c r="D5" s="3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s="3" customFormat="1" ht="24" customHeight="1">
      <c r="A6" s="41" t="s">
        <v>1261</v>
      </c>
      <c r="B6" s="25" t="s">
        <v>1296</v>
      </c>
      <c r="C6" s="40" t="s">
        <v>1307</v>
      </c>
      <c r="D6" s="34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s="3" customFormat="1" ht="24" customHeight="1">
      <c r="A7" s="43" t="s">
        <v>1262</v>
      </c>
      <c r="B7" s="26" t="s">
        <v>1296</v>
      </c>
      <c r="C7" s="40" t="s">
        <v>1307</v>
      </c>
      <c r="D7" s="34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s="3" customFormat="1" ht="24" customHeight="1">
      <c r="A8" s="43" t="s">
        <v>1263</v>
      </c>
      <c r="B8" s="26" t="s">
        <v>1296</v>
      </c>
      <c r="C8" s="40" t="s">
        <v>1307</v>
      </c>
      <c r="D8" s="34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s="3" customFormat="1" ht="24" customHeight="1">
      <c r="A9" s="43" t="s">
        <v>1264</v>
      </c>
      <c r="B9" s="26" t="s">
        <v>1296</v>
      </c>
      <c r="C9" s="40" t="s">
        <v>1307</v>
      </c>
      <c r="D9" s="34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s="3" customFormat="1" ht="24" customHeight="1">
      <c r="A10" s="43" t="s">
        <v>1265</v>
      </c>
      <c r="B10" s="26" t="s">
        <v>1296</v>
      </c>
      <c r="C10" s="40" t="s">
        <v>1307</v>
      </c>
      <c r="D10" s="34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3" customFormat="1" ht="24" customHeight="1">
      <c r="A11" s="43" t="s">
        <v>1266</v>
      </c>
      <c r="B11" s="26" t="s">
        <v>1297</v>
      </c>
      <c r="C11" s="40" t="s">
        <v>1307</v>
      </c>
      <c r="D11" s="34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s="3" customFormat="1" ht="24" customHeight="1">
      <c r="A12" s="43" t="s">
        <v>1267</v>
      </c>
      <c r="B12" s="26" t="s">
        <v>1297</v>
      </c>
      <c r="C12" s="40" t="s">
        <v>1307</v>
      </c>
      <c r="D12" s="34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s="4" customFormat="1" ht="43.5" customHeight="1">
      <c r="A13" s="169" t="s">
        <v>1309</v>
      </c>
      <c r="B13" s="170"/>
      <c r="C13" s="171"/>
      <c r="D13" s="34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s="2" customFormat="1" ht="24" customHeight="1">
      <c r="A14" s="44" t="s">
        <v>1268</v>
      </c>
      <c r="B14" s="25" t="s">
        <v>1298</v>
      </c>
      <c r="C14" s="45">
        <v>2.2240749999999996</v>
      </c>
      <c r="D14" s="3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2" customFormat="1" ht="24" customHeight="1">
      <c r="A15" s="44" t="s">
        <v>1269</v>
      </c>
      <c r="B15" s="25" t="s">
        <v>1299</v>
      </c>
      <c r="C15" s="45">
        <v>2.3023874999999996</v>
      </c>
      <c r="D15" s="34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2" customFormat="1" ht="24" customHeight="1">
      <c r="A16" s="46" t="s">
        <v>1270</v>
      </c>
      <c r="B16" s="27" t="s">
        <v>1299</v>
      </c>
      <c r="C16" s="47">
        <v>2.3023874999999996</v>
      </c>
      <c r="D16" s="34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2" customFormat="1" ht="24" customHeight="1">
      <c r="A17" s="48" t="s">
        <v>1271</v>
      </c>
      <c r="B17" s="28" t="s">
        <v>1299</v>
      </c>
      <c r="C17" s="40" t="s">
        <v>1307</v>
      </c>
      <c r="D17" s="34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" customFormat="1" ht="42" customHeight="1">
      <c r="A18" s="169" t="s">
        <v>1310</v>
      </c>
      <c r="B18" s="170"/>
      <c r="C18" s="171"/>
      <c r="D18" s="34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3" customFormat="1" ht="24" customHeight="1">
      <c r="A19" s="49" t="s">
        <v>1272</v>
      </c>
      <c r="B19" s="24" t="s">
        <v>1300</v>
      </c>
      <c r="C19" s="50">
        <v>2.8192499999999998</v>
      </c>
      <c r="D19" s="3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" customFormat="1" ht="24" customHeight="1">
      <c r="A20" s="169" t="s">
        <v>1311</v>
      </c>
      <c r="B20" s="170"/>
      <c r="C20" s="171"/>
      <c r="D20" s="34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2" customFormat="1" ht="24" customHeight="1">
      <c r="A21" s="48" t="s">
        <v>1273</v>
      </c>
      <c r="B21" s="28" t="s">
        <v>1299</v>
      </c>
      <c r="C21" s="42" t="s">
        <v>80</v>
      </c>
      <c r="D21" s="34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1" customFormat="1" ht="24" customHeight="1">
      <c r="A22" s="169" t="s">
        <v>1312</v>
      </c>
      <c r="B22" s="170"/>
      <c r="C22" s="171"/>
      <c r="D22" s="3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3" customFormat="1" ht="24" customHeight="1">
      <c r="A23" s="51" t="s">
        <v>1274</v>
      </c>
      <c r="B23" s="29" t="s">
        <v>1301</v>
      </c>
      <c r="C23" s="52">
        <v>1.2843249999999999</v>
      </c>
      <c r="D23" s="3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4" customFormat="1" ht="48.75" customHeight="1">
      <c r="A24" s="169" t="s">
        <v>1313</v>
      </c>
      <c r="B24" s="170"/>
      <c r="C24" s="171"/>
      <c r="D24" s="3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4" customFormat="1" ht="24" customHeight="1">
      <c r="A25" s="51" t="s">
        <v>1275</v>
      </c>
      <c r="B25" s="23" t="s">
        <v>1302</v>
      </c>
      <c r="C25" s="40" t="s">
        <v>1307</v>
      </c>
      <c r="D25" s="34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3" customFormat="1" ht="24" customHeight="1">
      <c r="A26" s="51" t="s">
        <v>1276</v>
      </c>
      <c r="B26" s="23" t="s">
        <v>1302</v>
      </c>
      <c r="C26" s="40" t="s">
        <v>1307</v>
      </c>
      <c r="D26" s="34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3" customFormat="1" ht="24" customHeight="1">
      <c r="A27" s="51" t="s">
        <v>1277</v>
      </c>
      <c r="B27" s="23" t="s">
        <v>1302</v>
      </c>
      <c r="C27" s="40" t="s">
        <v>1307</v>
      </c>
      <c r="D27" s="34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3" customFormat="1" ht="24" customHeight="1">
      <c r="A28" s="51" t="s">
        <v>1278</v>
      </c>
      <c r="B28" s="31" t="s">
        <v>1302</v>
      </c>
      <c r="C28" s="40" t="s">
        <v>1307</v>
      </c>
      <c r="D28" s="34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30" customFormat="1" ht="24" customHeight="1">
      <c r="A29" s="169" t="s">
        <v>1318</v>
      </c>
      <c r="B29" s="170"/>
      <c r="C29" s="171"/>
      <c r="D29" s="34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3" customFormat="1" ht="24" customHeight="1">
      <c r="A30" s="51" t="s">
        <v>1279</v>
      </c>
      <c r="B30" s="29" t="s">
        <v>1303</v>
      </c>
      <c r="C30" s="53">
        <v>3.4953764861294583</v>
      </c>
      <c r="D30" s="34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3" customFormat="1" ht="24" customHeight="1">
      <c r="A31" s="51" t="s">
        <v>1280</v>
      </c>
      <c r="B31" s="29" t="s">
        <v>1303</v>
      </c>
      <c r="C31" s="53">
        <v>3.8652575957727868</v>
      </c>
      <c r="D31" s="34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30" customFormat="1" ht="24" customHeight="1">
      <c r="A32" s="169" t="s">
        <v>1281</v>
      </c>
      <c r="B32" s="170"/>
      <c r="C32" s="171"/>
      <c r="D32" s="34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3" customFormat="1" ht="24" customHeight="1">
      <c r="A33" s="51" t="s">
        <v>1282</v>
      </c>
      <c r="B33" s="29" t="s">
        <v>1301</v>
      </c>
      <c r="C33" s="53">
        <v>1.165125495376486</v>
      </c>
      <c r="D33" s="34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3" customFormat="1" ht="24" customHeight="1">
      <c r="A34" s="51" t="s">
        <v>1283</v>
      </c>
      <c r="B34" s="29" t="s">
        <v>1301</v>
      </c>
      <c r="C34" s="53">
        <v>8.5072655217965636</v>
      </c>
      <c r="D34" s="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30" customFormat="1" ht="45" customHeight="1">
      <c r="A35" s="169" t="s">
        <v>1314</v>
      </c>
      <c r="B35" s="170"/>
      <c r="C35" s="171"/>
      <c r="D35" s="34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32" customFormat="1" ht="24" customHeight="1">
      <c r="A36" s="51" t="s">
        <v>1284</v>
      </c>
      <c r="B36" s="29" t="s">
        <v>1301</v>
      </c>
      <c r="C36" s="53">
        <v>1.4795244385733155</v>
      </c>
      <c r="D36" s="34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32" customFormat="1" ht="24" customHeight="1">
      <c r="A37" s="51" t="s">
        <v>1285</v>
      </c>
      <c r="B37" s="29" t="s">
        <v>1301</v>
      </c>
      <c r="C37" s="53">
        <v>0.88771466314398928</v>
      </c>
      <c r="D37" s="34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32" customFormat="1" ht="24" customHeight="1">
      <c r="A38" s="51" t="s">
        <v>1286</v>
      </c>
      <c r="B38" s="29" t="s">
        <v>1301</v>
      </c>
      <c r="C38" s="53">
        <v>0.55482166446499337</v>
      </c>
      <c r="D38" s="34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32" customFormat="1" ht="24" customHeight="1">
      <c r="A39" s="51" t="s">
        <v>1287</v>
      </c>
      <c r="B39" s="29" t="s">
        <v>1301</v>
      </c>
      <c r="C39" s="53">
        <v>3.5138705416116243</v>
      </c>
      <c r="D39" s="34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32" customFormat="1" ht="24" customHeight="1">
      <c r="A40" s="51" t="s">
        <v>1288</v>
      </c>
      <c r="B40" s="29" t="s">
        <v>1301</v>
      </c>
      <c r="C40" s="53">
        <v>0.55482166446499337</v>
      </c>
      <c r="D40" s="34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30" customFormat="1" ht="24" customHeight="1">
      <c r="A41" s="169" t="s">
        <v>1315</v>
      </c>
      <c r="B41" s="170"/>
      <c r="C41" s="171"/>
      <c r="D41" s="34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32" customFormat="1" ht="24" customHeight="1">
      <c r="A42" s="54" t="s">
        <v>1289</v>
      </c>
      <c r="B42" s="23" t="s">
        <v>1304</v>
      </c>
      <c r="C42" s="53">
        <v>5.178335535006604</v>
      </c>
      <c r="D42" s="34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30" customFormat="1" ht="24.75" customHeight="1">
      <c r="A43" s="169" t="s">
        <v>1316</v>
      </c>
      <c r="B43" s="170"/>
      <c r="C43" s="171"/>
      <c r="D43" s="34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32" customFormat="1" ht="34.5" customHeight="1">
      <c r="A44" s="51" t="s">
        <v>1290</v>
      </c>
      <c r="B44" s="29" t="s">
        <v>1305</v>
      </c>
      <c r="C44" s="40" t="s">
        <v>1307</v>
      </c>
      <c r="D44" s="3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30" customFormat="1" ht="33" customHeight="1">
      <c r="A45" s="169" t="s">
        <v>1317</v>
      </c>
      <c r="B45" s="170"/>
      <c r="C45" s="171"/>
      <c r="D45" s="34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32" customFormat="1" ht="24" customHeight="1">
      <c r="A46" s="51" t="s">
        <v>1291</v>
      </c>
      <c r="B46" s="29" t="s">
        <v>1301</v>
      </c>
      <c r="C46" s="53">
        <v>0.29590488771466311</v>
      </c>
      <c r="D46" s="34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32" customFormat="1" ht="24" customHeight="1">
      <c r="A47" s="51" t="s">
        <v>1292</v>
      </c>
      <c r="B47" s="29" t="s">
        <v>1306</v>
      </c>
      <c r="C47" s="53">
        <v>0.59180977542932622</v>
      </c>
      <c r="D47" s="34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32" customFormat="1" ht="24" customHeight="1" thickBot="1">
      <c r="A48" s="55" t="s">
        <v>1293</v>
      </c>
      <c r="B48" s="56" t="s">
        <v>1301</v>
      </c>
      <c r="C48" s="57">
        <v>2.7741083223249667</v>
      </c>
      <c r="D48" s="34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</sheetData>
  <mergeCells count="12">
    <mergeCell ref="A45:C45"/>
    <mergeCell ref="A20:C20"/>
    <mergeCell ref="A22:C22"/>
    <mergeCell ref="A24:C24"/>
    <mergeCell ref="A29:C29"/>
    <mergeCell ref="A32:C32"/>
    <mergeCell ref="A18:C18"/>
    <mergeCell ref="A13:C13"/>
    <mergeCell ref="A1:C1"/>
    <mergeCell ref="A35:C35"/>
    <mergeCell ref="A41:C41"/>
    <mergeCell ref="A43:C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0"/>
  <sheetViews>
    <sheetView zoomScale="62" zoomScaleNormal="62" workbookViewId="0">
      <selection activeCell="J25" sqref="J25"/>
    </sheetView>
  </sheetViews>
  <sheetFormatPr defaultRowHeight="14.25"/>
  <cols>
    <col min="1" max="1" width="58" style="135" customWidth="1"/>
    <col min="2" max="2" width="12.140625" style="136" customWidth="1"/>
    <col min="3" max="3" width="12" style="137" customWidth="1"/>
    <col min="4" max="5" width="9.140625" style="136"/>
    <col min="6" max="6" width="10.85546875" style="136" customWidth="1"/>
    <col min="7" max="7" width="22.42578125" style="136" customWidth="1"/>
  </cols>
  <sheetData>
    <row r="1" spans="1:7" ht="15.75" thickBot="1">
      <c r="A1" s="82" t="s">
        <v>82</v>
      </c>
      <c r="B1" s="83" t="s">
        <v>83</v>
      </c>
      <c r="C1" s="84" t="s">
        <v>394</v>
      </c>
      <c r="D1" s="85"/>
      <c r="E1" s="86" t="s">
        <v>84</v>
      </c>
      <c r="F1" s="86" t="s">
        <v>85</v>
      </c>
      <c r="G1" s="87" t="s">
        <v>86</v>
      </c>
    </row>
    <row r="2" spans="1:7" ht="20.25">
      <c r="A2" s="88" t="s">
        <v>1401</v>
      </c>
      <c r="B2" s="106"/>
      <c r="C2" s="102"/>
      <c r="D2" s="103"/>
      <c r="E2" s="104"/>
      <c r="F2" s="104"/>
      <c r="G2" s="105"/>
    </row>
    <row r="3" spans="1:7" ht="15">
      <c r="A3" s="94" t="s">
        <v>111</v>
      </c>
      <c r="B3" s="95">
        <v>304</v>
      </c>
      <c r="C3" s="96">
        <f t="shared" ref="C3:C21" si="0">B3/70.4</f>
        <v>4.3181818181818175</v>
      </c>
      <c r="D3" s="101" t="s">
        <v>100</v>
      </c>
      <c r="E3" s="98">
        <v>20</v>
      </c>
      <c r="F3" s="99" t="s">
        <v>112</v>
      </c>
      <c r="G3" s="107" t="s">
        <v>113</v>
      </c>
    </row>
    <row r="4" spans="1:7" ht="15">
      <c r="A4" s="94" t="s">
        <v>114</v>
      </c>
      <c r="B4" s="95">
        <v>338</v>
      </c>
      <c r="C4" s="96">
        <f t="shared" si="0"/>
        <v>4.8011363636363633</v>
      </c>
      <c r="D4" s="101" t="s">
        <v>100</v>
      </c>
      <c r="E4" s="98">
        <v>10</v>
      </c>
      <c r="F4" s="99" t="s">
        <v>115</v>
      </c>
      <c r="G4" s="107" t="s">
        <v>113</v>
      </c>
    </row>
    <row r="5" spans="1:7" ht="15">
      <c r="A5" s="94" t="s">
        <v>116</v>
      </c>
      <c r="B5" s="95">
        <v>423</v>
      </c>
      <c r="C5" s="96">
        <f t="shared" si="0"/>
        <v>6.0085227272727266</v>
      </c>
      <c r="D5" s="101" t="s">
        <v>100</v>
      </c>
      <c r="E5" s="98">
        <v>10</v>
      </c>
      <c r="F5" s="99" t="s">
        <v>115</v>
      </c>
      <c r="G5" s="107" t="s">
        <v>113</v>
      </c>
    </row>
    <row r="6" spans="1:7" ht="15">
      <c r="A6" s="94" t="s">
        <v>117</v>
      </c>
      <c r="B6" s="95">
        <v>492</v>
      </c>
      <c r="C6" s="96">
        <f t="shared" si="0"/>
        <v>6.9886363636363633</v>
      </c>
      <c r="D6" s="101" t="s">
        <v>100</v>
      </c>
      <c r="E6" s="98">
        <v>10</v>
      </c>
      <c r="F6" s="99" t="s">
        <v>115</v>
      </c>
      <c r="G6" s="107" t="s">
        <v>113</v>
      </c>
    </row>
    <row r="7" spans="1:7" ht="15">
      <c r="A7" s="94" t="s">
        <v>118</v>
      </c>
      <c r="B7" s="95">
        <v>707</v>
      </c>
      <c r="C7" s="96">
        <f t="shared" si="0"/>
        <v>10.042613636363635</v>
      </c>
      <c r="D7" s="101" t="s">
        <v>100</v>
      </c>
      <c r="E7" s="98">
        <v>10</v>
      </c>
      <c r="F7" s="99" t="s">
        <v>115</v>
      </c>
      <c r="G7" s="107" t="s">
        <v>113</v>
      </c>
    </row>
    <row r="8" spans="1:7" ht="15">
      <c r="A8" s="94" t="s">
        <v>119</v>
      </c>
      <c r="B8" s="95">
        <v>754</v>
      </c>
      <c r="C8" s="96">
        <f t="shared" si="0"/>
        <v>10.710227272727272</v>
      </c>
      <c r="D8" s="101" t="s">
        <v>100</v>
      </c>
      <c r="E8" s="98">
        <v>10</v>
      </c>
      <c r="F8" s="99" t="s">
        <v>115</v>
      </c>
      <c r="G8" s="107" t="s">
        <v>113</v>
      </c>
    </row>
    <row r="9" spans="1:7" ht="15">
      <c r="A9" s="94" t="s">
        <v>120</v>
      </c>
      <c r="B9" s="95">
        <v>977</v>
      </c>
      <c r="C9" s="96">
        <f t="shared" si="0"/>
        <v>13.877840909090908</v>
      </c>
      <c r="D9" s="101" t="s">
        <v>100</v>
      </c>
      <c r="E9" s="98">
        <v>10</v>
      </c>
      <c r="F9" s="99" t="s">
        <v>115</v>
      </c>
      <c r="G9" s="107" t="s">
        <v>113</v>
      </c>
    </row>
    <row r="10" spans="1:7" ht="15">
      <c r="A10" s="94" t="s">
        <v>121</v>
      </c>
      <c r="B10" s="95">
        <v>1127</v>
      </c>
      <c r="C10" s="96">
        <f t="shared" si="0"/>
        <v>16.008522727272727</v>
      </c>
      <c r="D10" s="101" t="s">
        <v>100</v>
      </c>
      <c r="E10" s="98">
        <v>10</v>
      </c>
      <c r="F10" s="99" t="s">
        <v>115</v>
      </c>
      <c r="G10" s="107" t="s">
        <v>113</v>
      </c>
    </row>
    <row r="11" spans="1:7" ht="15">
      <c r="A11" s="94" t="s">
        <v>122</v>
      </c>
      <c r="B11" s="95">
        <v>1277</v>
      </c>
      <c r="C11" s="96">
        <f t="shared" si="0"/>
        <v>18.139204545454543</v>
      </c>
      <c r="D11" s="101" t="s">
        <v>100</v>
      </c>
      <c r="E11" s="98">
        <v>12</v>
      </c>
      <c r="F11" s="99" t="s">
        <v>115</v>
      </c>
      <c r="G11" s="107" t="s">
        <v>113</v>
      </c>
    </row>
    <row r="12" spans="1:7" ht="15">
      <c r="A12" s="94" t="s">
        <v>123</v>
      </c>
      <c r="B12" s="95">
        <v>354</v>
      </c>
      <c r="C12" s="96">
        <f t="shared" si="0"/>
        <v>5.0284090909090908</v>
      </c>
      <c r="D12" s="101" t="s">
        <v>100</v>
      </c>
      <c r="E12" s="98">
        <v>22</v>
      </c>
      <c r="F12" s="99" t="s">
        <v>112</v>
      </c>
      <c r="G12" s="107" t="s">
        <v>113</v>
      </c>
    </row>
    <row r="13" spans="1:7" ht="15">
      <c r="A13" s="94" t="s">
        <v>124</v>
      </c>
      <c r="B13" s="95">
        <v>393</v>
      </c>
      <c r="C13" s="96">
        <f t="shared" si="0"/>
        <v>5.5823863636363633</v>
      </c>
      <c r="D13" s="101" t="s">
        <v>100</v>
      </c>
      <c r="E13" s="98">
        <v>10</v>
      </c>
      <c r="F13" s="99" t="s">
        <v>115</v>
      </c>
      <c r="G13" s="107" t="s">
        <v>113</v>
      </c>
    </row>
    <row r="14" spans="1:7" ht="15">
      <c r="A14" s="94" t="s">
        <v>125</v>
      </c>
      <c r="B14" s="95">
        <v>392</v>
      </c>
      <c r="C14" s="96">
        <f t="shared" si="0"/>
        <v>5.5681818181818175</v>
      </c>
      <c r="D14" s="101" t="s">
        <v>100</v>
      </c>
      <c r="E14" s="98">
        <v>25</v>
      </c>
      <c r="F14" s="99" t="s">
        <v>115</v>
      </c>
      <c r="G14" s="107" t="s">
        <v>113</v>
      </c>
    </row>
    <row r="15" spans="1:7" ht="15">
      <c r="A15" s="94" t="s">
        <v>126</v>
      </c>
      <c r="B15" s="95">
        <v>493</v>
      </c>
      <c r="C15" s="96">
        <f t="shared" si="0"/>
        <v>7.0028409090909083</v>
      </c>
      <c r="D15" s="101" t="s">
        <v>100</v>
      </c>
      <c r="E15" s="98">
        <v>10</v>
      </c>
      <c r="F15" s="99" t="s">
        <v>115</v>
      </c>
      <c r="G15" s="107" t="s">
        <v>113</v>
      </c>
    </row>
    <row r="16" spans="1:7" ht="15">
      <c r="A16" s="94" t="s">
        <v>127</v>
      </c>
      <c r="B16" s="95">
        <v>304</v>
      </c>
      <c r="C16" s="96">
        <f t="shared" si="0"/>
        <v>4.3181818181818175</v>
      </c>
      <c r="D16" s="101" t="s">
        <v>100</v>
      </c>
      <c r="E16" s="98">
        <v>10</v>
      </c>
      <c r="F16" s="99" t="s">
        <v>115</v>
      </c>
      <c r="G16" s="107" t="s">
        <v>113</v>
      </c>
    </row>
    <row r="17" spans="1:7" ht="15">
      <c r="A17" s="94" t="s">
        <v>128</v>
      </c>
      <c r="B17" s="95">
        <v>141</v>
      </c>
      <c r="C17" s="96">
        <f t="shared" si="0"/>
        <v>2.0028409090909087</v>
      </c>
      <c r="D17" s="101" t="s">
        <v>100</v>
      </c>
      <c r="E17" s="98">
        <v>20</v>
      </c>
      <c r="F17" s="99" t="s">
        <v>115</v>
      </c>
      <c r="G17" s="107" t="s">
        <v>113</v>
      </c>
    </row>
    <row r="18" spans="1:7" ht="15">
      <c r="A18" s="94" t="s">
        <v>129</v>
      </c>
      <c r="B18" s="95">
        <v>1014</v>
      </c>
      <c r="C18" s="96">
        <f t="shared" si="0"/>
        <v>14.40340909090909</v>
      </c>
      <c r="D18" s="101" t="s">
        <v>100</v>
      </c>
      <c r="E18" s="98">
        <v>5</v>
      </c>
      <c r="F18" s="99" t="s">
        <v>115</v>
      </c>
      <c r="G18" s="107" t="s">
        <v>113</v>
      </c>
    </row>
    <row r="19" spans="1:7" ht="15">
      <c r="A19" s="94" t="s">
        <v>130</v>
      </c>
      <c r="B19" s="95">
        <v>345</v>
      </c>
      <c r="C19" s="96">
        <f t="shared" si="0"/>
        <v>4.9005681818181817</v>
      </c>
      <c r="D19" s="101" t="s">
        <v>100</v>
      </c>
      <c r="E19" s="98">
        <v>10</v>
      </c>
      <c r="F19" s="99" t="s">
        <v>115</v>
      </c>
      <c r="G19" s="107" t="s">
        <v>113</v>
      </c>
    </row>
    <row r="20" spans="1:7" ht="15">
      <c r="A20" s="94" t="s">
        <v>131</v>
      </c>
      <c r="B20" s="95">
        <v>780</v>
      </c>
      <c r="C20" s="96">
        <f t="shared" si="0"/>
        <v>11.079545454545453</v>
      </c>
      <c r="D20" s="101" t="s">
        <v>100</v>
      </c>
      <c r="E20" s="98">
        <v>5</v>
      </c>
      <c r="F20" s="99" t="s">
        <v>115</v>
      </c>
      <c r="G20" s="107" t="s">
        <v>113</v>
      </c>
    </row>
    <row r="21" spans="1:7" ht="15">
      <c r="A21" s="94" t="s">
        <v>132</v>
      </c>
      <c r="B21" s="95">
        <v>168</v>
      </c>
      <c r="C21" s="96">
        <f t="shared" si="0"/>
        <v>2.3863636363636362</v>
      </c>
      <c r="D21" s="101" t="s">
        <v>100</v>
      </c>
      <c r="E21" s="98">
        <v>10</v>
      </c>
      <c r="F21" s="99" t="s">
        <v>115</v>
      </c>
      <c r="G21" s="107" t="s">
        <v>113</v>
      </c>
    </row>
    <row r="22" spans="1:7" ht="15">
      <c r="A22" s="108"/>
      <c r="B22" s="95"/>
      <c r="C22" s="96"/>
      <c r="D22" s="97"/>
      <c r="E22" s="98"/>
      <c r="F22" s="98"/>
      <c r="G22" s="107"/>
    </row>
    <row r="23" spans="1:7" ht="20.25">
      <c r="A23" s="88" t="s">
        <v>133</v>
      </c>
      <c r="B23" s="89"/>
      <c r="C23" s="90"/>
      <c r="D23" s="103"/>
      <c r="E23" s="104"/>
      <c r="F23" s="104"/>
      <c r="G23" s="105"/>
    </row>
    <row r="24" spans="1:7" ht="15">
      <c r="A24" s="94" t="s">
        <v>134</v>
      </c>
      <c r="B24" s="95">
        <v>579</v>
      </c>
      <c r="C24" s="96">
        <f>B24/70.4</f>
        <v>8.2244318181818183</v>
      </c>
      <c r="D24" s="101" t="s">
        <v>100</v>
      </c>
      <c r="E24" s="98">
        <v>30</v>
      </c>
      <c r="F24" s="99" t="s">
        <v>115</v>
      </c>
      <c r="G24" s="107" t="s">
        <v>113</v>
      </c>
    </row>
    <row r="25" spans="1:7" ht="15">
      <c r="A25" s="94" t="s">
        <v>135</v>
      </c>
      <c r="B25" s="95">
        <v>798</v>
      </c>
      <c r="C25" s="96">
        <f>B25/70.4</f>
        <v>11.335227272727272</v>
      </c>
      <c r="D25" s="101" t="s">
        <v>100</v>
      </c>
      <c r="E25" s="98">
        <v>30</v>
      </c>
      <c r="F25" s="99" t="s">
        <v>115</v>
      </c>
      <c r="G25" s="107" t="s">
        <v>113</v>
      </c>
    </row>
    <row r="26" spans="1:7" ht="15">
      <c r="A26" s="94"/>
      <c r="B26" s="95"/>
      <c r="C26" s="96"/>
      <c r="D26" s="97"/>
      <c r="E26" s="98"/>
      <c r="F26" s="98"/>
      <c r="G26" s="107"/>
    </row>
    <row r="27" spans="1:7" ht="15">
      <c r="A27" s="94"/>
      <c r="B27" s="95"/>
      <c r="C27" s="96"/>
      <c r="D27" s="97"/>
      <c r="E27" s="98"/>
      <c r="F27" s="98"/>
      <c r="G27" s="107"/>
    </row>
    <row r="28" spans="1:7" ht="20.25">
      <c r="A28" s="88" t="s">
        <v>136</v>
      </c>
      <c r="B28" s="89"/>
      <c r="C28" s="90"/>
      <c r="D28" s="91"/>
      <c r="E28" s="92"/>
      <c r="F28" s="92"/>
      <c r="G28" s="93"/>
    </row>
    <row r="29" spans="1:7" ht="15">
      <c r="A29" s="94" t="s">
        <v>137</v>
      </c>
      <c r="B29" s="95">
        <v>551</v>
      </c>
      <c r="C29" s="96">
        <f t="shared" ref="C29:C47" si="1">B29/70.4</f>
        <v>7.826704545454545</v>
      </c>
      <c r="D29" s="101" t="s">
        <v>100</v>
      </c>
      <c r="E29" s="98">
        <v>5</v>
      </c>
      <c r="F29" s="99" t="s">
        <v>138</v>
      </c>
      <c r="G29" s="100" t="s">
        <v>139</v>
      </c>
    </row>
    <row r="30" spans="1:7" ht="15">
      <c r="A30" s="94" t="s">
        <v>140</v>
      </c>
      <c r="B30" s="95">
        <v>106</v>
      </c>
      <c r="C30" s="96">
        <f t="shared" si="1"/>
        <v>1.5056818181818181</v>
      </c>
      <c r="D30" s="101" t="s">
        <v>141</v>
      </c>
      <c r="E30" s="98">
        <v>10</v>
      </c>
      <c r="F30" s="99" t="s">
        <v>142</v>
      </c>
      <c r="G30" s="100" t="s">
        <v>139</v>
      </c>
    </row>
    <row r="31" spans="1:7" ht="15">
      <c r="A31" s="94" t="s">
        <v>143</v>
      </c>
      <c r="B31" s="95">
        <v>791</v>
      </c>
      <c r="C31" s="96">
        <f t="shared" si="1"/>
        <v>11.235795454545453</v>
      </c>
      <c r="D31" s="101" t="s">
        <v>100</v>
      </c>
      <c r="E31" s="98">
        <v>5</v>
      </c>
      <c r="F31" s="99" t="s">
        <v>144</v>
      </c>
      <c r="G31" s="100" t="s">
        <v>145</v>
      </c>
    </row>
    <row r="32" spans="1:7" ht="15">
      <c r="A32" s="94" t="s">
        <v>146</v>
      </c>
      <c r="B32" s="95">
        <v>679</v>
      </c>
      <c r="C32" s="96">
        <f t="shared" si="1"/>
        <v>9.6448863636363633</v>
      </c>
      <c r="D32" s="101" t="s">
        <v>100</v>
      </c>
      <c r="E32" s="98">
        <v>5</v>
      </c>
      <c r="F32" s="99" t="s">
        <v>147</v>
      </c>
      <c r="G32" s="100" t="s">
        <v>145</v>
      </c>
    </row>
    <row r="33" spans="1:7" ht="15">
      <c r="A33" s="94" t="s">
        <v>148</v>
      </c>
      <c r="B33" s="95">
        <v>941</v>
      </c>
      <c r="C33" s="96">
        <f t="shared" si="1"/>
        <v>13.366477272727272</v>
      </c>
      <c r="D33" s="101" t="s">
        <v>100</v>
      </c>
      <c r="E33" s="98">
        <v>5</v>
      </c>
      <c r="F33" s="99" t="s">
        <v>144</v>
      </c>
      <c r="G33" s="100" t="s">
        <v>139</v>
      </c>
    </row>
    <row r="34" spans="1:7" ht="15">
      <c r="A34" s="94" t="s">
        <v>149</v>
      </c>
      <c r="B34" s="95">
        <v>210</v>
      </c>
      <c r="C34" s="96">
        <f t="shared" si="1"/>
        <v>2.9829545454545454</v>
      </c>
      <c r="D34" s="97" t="s">
        <v>88</v>
      </c>
      <c r="E34" s="98">
        <v>10</v>
      </c>
      <c r="F34" s="99" t="s">
        <v>142</v>
      </c>
      <c r="G34" s="100" t="s">
        <v>139</v>
      </c>
    </row>
    <row r="35" spans="1:7" ht="15">
      <c r="A35" s="94" t="s">
        <v>150</v>
      </c>
      <c r="B35" s="95">
        <v>1589</v>
      </c>
      <c r="C35" s="96">
        <f t="shared" si="1"/>
        <v>22.571022727272727</v>
      </c>
      <c r="D35" s="101" t="s">
        <v>100</v>
      </c>
      <c r="E35" s="98">
        <v>5</v>
      </c>
      <c r="F35" s="99" t="s">
        <v>147</v>
      </c>
      <c r="G35" s="100" t="s">
        <v>145</v>
      </c>
    </row>
    <row r="36" spans="1:7" ht="15">
      <c r="A36" s="94" t="s">
        <v>151</v>
      </c>
      <c r="B36" s="95">
        <v>749</v>
      </c>
      <c r="C36" s="96">
        <f t="shared" si="1"/>
        <v>10.639204545454545</v>
      </c>
      <c r="D36" s="101" t="s">
        <v>100</v>
      </c>
      <c r="E36" s="98">
        <v>5</v>
      </c>
      <c r="F36" s="99" t="s">
        <v>147</v>
      </c>
      <c r="G36" s="100" t="s">
        <v>145</v>
      </c>
    </row>
    <row r="37" spans="1:7" ht="15">
      <c r="A37" s="94" t="s">
        <v>152</v>
      </c>
      <c r="B37" s="95">
        <v>2201</v>
      </c>
      <c r="C37" s="96">
        <f t="shared" si="1"/>
        <v>31.264204545454543</v>
      </c>
      <c r="D37" s="101" t="s">
        <v>100</v>
      </c>
      <c r="E37" s="98">
        <v>2.5</v>
      </c>
      <c r="F37" s="99" t="s">
        <v>153</v>
      </c>
      <c r="G37" s="100" t="s">
        <v>139</v>
      </c>
    </row>
    <row r="38" spans="1:7" ht="15">
      <c r="A38" s="94" t="s">
        <v>154</v>
      </c>
      <c r="B38" s="95">
        <v>2310</v>
      </c>
      <c r="C38" s="96">
        <f t="shared" si="1"/>
        <v>32.8125</v>
      </c>
      <c r="D38" s="101" t="s">
        <v>100</v>
      </c>
      <c r="E38" s="98">
        <v>2.5</v>
      </c>
      <c r="F38" s="99" t="s">
        <v>155</v>
      </c>
      <c r="G38" s="100" t="s">
        <v>139</v>
      </c>
    </row>
    <row r="39" spans="1:7" ht="15">
      <c r="A39" s="94" t="s">
        <v>156</v>
      </c>
      <c r="B39" s="95">
        <v>99</v>
      </c>
      <c r="C39" s="96">
        <f t="shared" si="1"/>
        <v>1.4062499999999998</v>
      </c>
      <c r="D39" s="97" t="s">
        <v>88</v>
      </c>
      <c r="E39" s="98">
        <v>10</v>
      </c>
      <c r="F39" s="99" t="s">
        <v>142</v>
      </c>
      <c r="G39" s="100" t="s">
        <v>139</v>
      </c>
    </row>
    <row r="40" spans="1:7" ht="15">
      <c r="A40" s="94" t="s">
        <v>157</v>
      </c>
      <c r="B40" s="95">
        <v>763</v>
      </c>
      <c r="C40" s="96">
        <f t="shared" si="1"/>
        <v>10.838068181818182</v>
      </c>
      <c r="D40" s="101" t="s">
        <v>100</v>
      </c>
      <c r="E40" s="98">
        <v>5</v>
      </c>
      <c r="F40" s="99" t="s">
        <v>147</v>
      </c>
      <c r="G40" s="100" t="s">
        <v>158</v>
      </c>
    </row>
    <row r="41" spans="1:7" ht="15">
      <c r="A41" s="94" t="s">
        <v>159</v>
      </c>
      <c r="B41" s="95">
        <v>895</v>
      </c>
      <c r="C41" s="96">
        <f t="shared" si="1"/>
        <v>12.713068181818182</v>
      </c>
      <c r="D41" s="101" t="s">
        <v>100</v>
      </c>
      <c r="E41" s="98">
        <v>5</v>
      </c>
      <c r="F41" s="99" t="s">
        <v>160</v>
      </c>
      <c r="G41" s="100" t="s">
        <v>139</v>
      </c>
    </row>
    <row r="42" spans="1:7" ht="15">
      <c r="A42" s="94" t="s">
        <v>161</v>
      </c>
      <c r="B42" s="95">
        <v>710</v>
      </c>
      <c r="C42" s="96">
        <f t="shared" si="1"/>
        <v>10.085227272727272</v>
      </c>
      <c r="D42" s="101" t="s">
        <v>100</v>
      </c>
      <c r="E42" s="98">
        <v>5</v>
      </c>
      <c r="F42" s="99" t="s">
        <v>153</v>
      </c>
      <c r="G42" s="100" t="s">
        <v>139</v>
      </c>
    </row>
    <row r="43" spans="1:7" ht="15">
      <c r="A43" s="94" t="s">
        <v>162</v>
      </c>
      <c r="B43" s="95">
        <v>448</v>
      </c>
      <c r="C43" s="96">
        <f t="shared" si="1"/>
        <v>6.3636363636363633</v>
      </c>
      <c r="D43" s="101" t="s">
        <v>100</v>
      </c>
      <c r="E43" s="98">
        <v>5</v>
      </c>
      <c r="F43" s="99" t="s">
        <v>153</v>
      </c>
      <c r="G43" s="100" t="s">
        <v>163</v>
      </c>
    </row>
    <row r="44" spans="1:7" ht="15">
      <c r="A44" s="94" t="s">
        <v>164</v>
      </c>
      <c r="B44" s="95">
        <v>469</v>
      </c>
      <c r="C44" s="96">
        <f t="shared" si="1"/>
        <v>6.6619318181818175</v>
      </c>
      <c r="D44" s="101" t="s">
        <v>100</v>
      </c>
      <c r="E44" s="98">
        <v>5</v>
      </c>
      <c r="F44" s="99" t="s">
        <v>147</v>
      </c>
      <c r="G44" s="100" t="s">
        <v>145</v>
      </c>
    </row>
    <row r="45" spans="1:7" ht="15">
      <c r="A45" s="94" t="s">
        <v>165</v>
      </c>
      <c r="B45" s="95">
        <v>120</v>
      </c>
      <c r="C45" s="96">
        <f t="shared" si="1"/>
        <v>1.7045454545454544</v>
      </c>
      <c r="D45" s="101" t="s">
        <v>141</v>
      </c>
      <c r="E45" s="98">
        <v>10</v>
      </c>
      <c r="F45" s="99" t="s">
        <v>142</v>
      </c>
      <c r="G45" s="100" t="s">
        <v>139</v>
      </c>
    </row>
    <row r="46" spans="1:7" ht="15">
      <c r="A46" s="94" t="s">
        <v>166</v>
      </c>
      <c r="B46" s="95">
        <v>665</v>
      </c>
      <c r="C46" s="96">
        <f t="shared" si="1"/>
        <v>9.4460227272727266</v>
      </c>
      <c r="D46" s="101" t="s">
        <v>100</v>
      </c>
      <c r="E46" s="98">
        <v>5</v>
      </c>
      <c r="F46" s="99" t="s">
        <v>147</v>
      </c>
      <c r="G46" s="100" t="s">
        <v>145</v>
      </c>
    </row>
    <row r="47" spans="1:7" ht="15">
      <c r="A47" s="94" t="s">
        <v>167</v>
      </c>
      <c r="B47" s="95">
        <v>493</v>
      </c>
      <c r="C47" s="96">
        <f t="shared" si="1"/>
        <v>7.0028409090909083</v>
      </c>
      <c r="D47" s="101" t="s">
        <v>100</v>
      </c>
      <c r="E47" s="98">
        <v>5</v>
      </c>
      <c r="F47" s="99" t="s">
        <v>147</v>
      </c>
      <c r="G47" s="100" t="s">
        <v>145</v>
      </c>
    </row>
    <row r="48" spans="1:7" ht="15">
      <c r="A48" s="94"/>
      <c r="B48" s="95"/>
      <c r="C48" s="96"/>
      <c r="D48" s="101"/>
      <c r="E48" s="98"/>
      <c r="F48" s="98"/>
      <c r="G48" s="100"/>
    </row>
    <row r="49" spans="1:7" ht="20.25">
      <c r="A49" s="88" t="s">
        <v>168</v>
      </c>
      <c r="B49" s="89"/>
      <c r="C49" s="90"/>
      <c r="D49" s="101"/>
      <c r="E49" s="92"/>
      <c r="F49" s="98"/>
      <c r="G49" s="100"/>
    </row>
    <row r="50" spans="1:7" ht="15">
      <c r="A50" s="94" t="s">
        <v>169</v>
      </c>
      <c r="B50" s="95">
        <v>1417</v>
      </c>
      <c r="C50" s="96">
        <f t="shared" ref="C50:C55" si="2">B50/70.4</f>
        <v>20.127840909090907</v>
      </c>
      <c r="D50" s="101" t="s">
        <v>100</v>
      </c>
      <c r="E50" s="98">
        <v>5</v>
      </c>
      <c r="F50" s="99" t="s">
        <v>170</v>
      </c>
      <c r="G50" s="100" t="s">
        <v>139</v>
      </c>
    </row>
    <row r="51" spans="1:7" ht="15">
      <c r="A51" s="94" t="s">
        <v>171</v>
      </c>
      <c r="B51" s="95">
        <v>2933</v>
      </c>
      <c r="C51" s="96">
        <f t="shared" si="2"/>
        <v>41.661931818181813</v>
      </c>
      <c r="D51" s="101" t="s">
        <v>100</v>
      </c>
      <c r="E51" s="98">
        <v>1</v>
      </c>
      <c r="F51" s="99" t="s">
        <v>170</v>
      </c>
      <c r="G51" s="100" t="s">
        <v>139</v>
      </c>
    </row>
    <row r="52" spans="1:7" ht="15">
      <c r="A52" s="94" t="s">
        <v>172</v>
      </c>
      <c r="B52" s="95">
        <v>295</v>
      </c>
      <c r="C52" s="96">
        <f t="shared" si="2"/>
        <v>4.1903409090909092</v>
      </c>
      <c r="D52" s="97" t="s">
        <v>88</v>
      </c>
      <c r="E52" s="98">
        <v>1</v>
      </c>
      <c r="F52" s="99" t="s">
        <v>170</v>
      </c>
      <c r="G52" s="100" t="s">
        <v>139</v>
      </c>
    </row>
    <row r="53" spans="1:7" ht="15">
      <c r="A53" s="94" t="s">
        <v>173</v>
      </c>
      <c r="B53" s="95">
        <v>150</v>
      </c>
      <c r="C53" s="96">
        <f t="shared" si="2"/>
        <v>2.1306818181818179</v>
      </c>
      <c r="D53" s="97" t="s">
        <v>88</v>
      </c>
      <c r="E53" s="98">
        <v>1</v>
      </c>
      <c r="F53" s="99" t="s">
        <v>170</v>
      </c>
      <c r="G53" s="100" t="s">
        <v>139</v>
      </c>
    </row>
    <row r="54" spans="1:7" ht="15">
      <c r="A54" s="94" t="s">
        <v>174</v>
      </c>
      <c r="B54" s="95">
        <v>497</v>
      </c>
      <c r="C54" s="96">
        <f t="shared" si="2"/>
        <v>7.0596590909090899</v>
      </c>
      <c r="D54" s="101" t="s">
        <v>100</v>
      </c>
      <c r="E54" s="98">
        <v>5</v>
      </c>
      <c r="F54" s="99" t="s">
        <v>170</v>
      </c>
      <c r="G54" s="100" t="s">
        <v>139</v>
      </c>
    </row>
    <row r="55" spans="1:7" ht="15">
      <c r="A55" s="94" t="s">
        <v>175</v>
      </c>
      <c r="B55" s="95">
        <v>1295</v>
      </c>
      <c r="C55" s="96">
        <f t="shared" si="2"/>
        <v>18.394886363636363</v>
      </c>
      <c r="D55" s="101" t="s">
        <v>100</v>
      </c>
      <c r="E55" s="98">
        <v>1</v>
      </c>
      <c r="F55" s="99" t="s">
        <v>170</v>
      </c>
      <c r="G55" s="107" t="s">
        <v>176</v>
      </c>
    </row>
    <row r="56" spans="1:7" ht="15">
      <c r="A56" s="94"/>
      <c r="B56" s="95"/>
      <c r="C56" s="96"/>
      <c r="D56" s="97"/>
      <c r="E56" s="98"/>
      <c r="F56" s="98"/>
      <c r="G56" s="107"/>
    </row>
    <row r="57" spans="1:7" ht="20.25">
      <c r="A57" s="88" t="s">
        <v>177</v>
      </c>
      <c r="B57" s="89"/>
      <c r="C57" s="90"/>
      <c r="D57" s="103"/>
      <c r="E57" s="104"/>
      <c r="F57" s="104"/>
      <c r="G57" s="105"/>
    </row>
    <row r="58" spans="1:7" ht="15">
      <c r="A58" s="94" t="s">
        <v>178</v>
      </c>
      <c r="B58" s="95">
        <v>978</v>
      </c>
      <c r="C58" s="96">
        <f>B58/70.4</f>
        <v>13.892045454545453</v>
      </c>
      <c r="D58" s="101" t="s">
        <v>100</v>
      </c>
      <c r="E58" s="98">
        <v>5</v>
      </c>
      <c r="F58" s="99" t="s">
        <v>179</v>
      </c>
      <c r="G58" s="100" t="s">
        <v>139</v>
      </c>
    </row>
    <row r="59" spans="1:7" ht="15">
      <c r="A59" s="94" t="s">
        <v>180</v>
      </c>
      <c r="B59" s="95">
        <v>978</v>
      </c>
      <c r="C59" s="96">
        <f>B59/70.4</f>
        <v>13.892045454545453</v>
      </c>
      <c r="D59" s="101" t="s">
        <v>100</v>
      </c>
      <c r="E59" s="98">
        <v>5</v>
      </c>
      <c r="F59" s="99" t="s">
        <v>179</v>
      </c>
      <c r="G59" s="100" t="s">
        <v>139</v>
      </c>
    </row>
    <row r="60" spans="1:7" ht="15">
      <c r="A60" s="94" t="s">
        <v>181</v>
      </c>
      <c r="B60" s="95">
        <v>601</v>
      </c>
      <c r="C60" s="96">
        <f>B60/70.4</f>
        <v>8.5369318181818183</v>
      </c>
      <c r="D60" s="101" t="s">
        <v>100</v>
      </c>
      <c r="E60" s="98">
        <v>1</v>
      </c>
      <c r="F60" s="99" t="s">
        <v>153</v>
      </c>
      <c r="G60" s="100" t="s">
        <v>158</v>
      </c>
    </row>
    <row r="61" spans="1:7" ht="15">
      <c r="A61" s="94"/>
      <c r="B61" s="95"/>
      <c r="C61" s="96"/>
      <c r="D61" s="101"/>
      <c r="E61" s="98"/>
      <c r="F61" s="98"/>
      <c r="G61" s="100"/>
    </row>
    <row r="62" spans="1:7" ht="20.25">
      <c r="A62" s="88" t="s">
        <v>182</v>
      </c>
      <c r="B62" s="89"/>
      <c r="C62" s="90"/>
      <c r="D62" s="101"/>
      <c r="E62" s="104"/>
      <c r="F62" s="98"/>
      <c r="G62" s="100"/>
    </row>
    <row r="63" spans="1:7" ht="15">
      <c r="A63" s="94" t="s">
        <v>183</v>
      </c>
      <c r="B63" s="95">
        <v>161</v>
      </c>
      <c r="C63" s="96">
        <f>B63/70.4</f>
        <v>2.2869318181818179</v>
      </c>
      <c r="D63" s="97" t="s">
        <v>88</v>
      </c>
      <c r="E63" s="98">
        <v>10</v>
      </c>
      <c r="F63" s="99" t="s">
        <v>184</v>
      </c>
      <c r="G63" s="100" t="s">
        <v>163</v>
      </c>
    </row>
    <row r="64" spans="1:7" ht="15">
      <c r="A64" s="94" t="s">
        <v>185</v>
      </c>
      <c r="B64" s="95">
        <v>161</v>
      </c>
      <c r="C64" s="96">
        <f>B64/70.4</f>
        <v>2.2869318181818179</v>
      </c>
      <c r="D64" s="97" t="s">
        <v>88</v>
      </c>
      <c r="E64" s="98">
        <v>10</v>
      </c>
      <c r="F64" s="99" t="s">
        <v>160</v>
      </c>
      <c r="G64" s="100" t="s">
        <v>163</v>
      </c>
    </row>
    <row r="65" spans="1:7" ht="15">
      <c r="A65" s="94" t="s">
        <v>186</v>
      </c>
      <c r="B65" s="95">
        <v>161</v>
      </c>
      <c r="C65" s="96">
        <f>B65/70.4</f>
        <v>2.2869318181818179</v>
      </c>
      <c r="D65" s="97" t="s">
        <v>88</v>
      </c>
      <c r="E65" s="98">
        <v>10</v>
      </c>
      <c r="F65" s="99" t="s">
        <v>160</v>
      </c>
      <c r="G65" s="100" t="s">
        <v>163</v>
      </c>
    </row>
    <row r="66" spans="1:7" ht="15">
      <c r="A66" s="94" t="s">
        <v>187</v>
      </c>
      <c r="B66" s="95">
        <v>161</v>
      </c>
      <c r="C66" s="96">
        <f>B66/70.4</f>
        <v>2.2869318181818179</v>
      </c>
      <c r="D66" s="97" t="s">
        <v>88</v>
      </c>
      <c r="E66" s="98">
        <v>10</v>
      </c>
      <c r="F66" s="99" t="s">
        <v>160</v>
      </c>
      <c r="G66" s="100" t="s">
        <v>163</v>
      </c>
    </row>
    <row r="67" spans="1:7" ht="15">
      <c r="A67" s="108"/>
      <c r="B67" s="95"/>
      <c r="C67" s="96"/>
      <c r="D67" s="101"/>
      <c r="E67" s="98"/>
      <c r="F67" s="98"/>
      <c r="G67" s="100"/>
    </row>
    <row r="68" spans="1:7" ht="20.25">
      <c r="A68" s="88" t="s">
        <v>188</v>
      </c>
      <c r="B68" s="89"/>
      <c r="C68" s="90"/>
      <c r="D68" s="101"/>
      <c r="E68" s="104"/>
      <c r="F68" s="98"/>
      <c r="G68" s="100"/>
    </row>
    <row r="69" spans="1:7" ht="15">
      <c r="A69" s="94" t="s">
        <v>189</v>
      </c>
      <c r="B69" s="89"/>
      <c r="C69" s="90"/>
      <c r="D69" s="101"/>
      <c r="E69" s="104"/>
      <c r="F69" s="98"/>
      <c r="G69" s="100"/>
    </row>
    <row r="70" spans="1:7" ht="15">
      <c r="A70" s="94" t="s">
        <v>190</v>
      </c>
      <c r="B70" s="95">
        <v>233</v>
      </c>
      <c r="C70" s="96">
        <f t="shared" ref="C70:C101" si="3">B70/70.4</f>
        <v>3.3096590909090908</v>
      </c>
      <c r="D70" s="97" t="s">
        <v>88</v>
      </c>
      <c r="E70" s="98">
        <v>10</v>
      </c>
      <c r="F70" s="99" t="s">
        <v>191</v>
      </c>
      <c r="G70" s="100" t="s">
        <v>192</v>
      </c>
    </row>
    <row r="71" spans="1:7" ht="15">
      <c r="A71" s="94" t="s">
        <v>193</v>
      </c>
      <c r="B71" s="95">
        <v>70</v>
      </c>
      <c r="C71" s="96">
        <f t="shared" si="3"/>
        <v>0.99431818181818177</v>
      </c>
      <c r="D71" s="97" t="s">
        <v>88</v>
      </c>
      <c r="E71" s="98">
        <v>10</v>
      </c>
      <c r="F71" s="99" t="s">
        <v>191</v>
      </c>
      <c r="G71" s="100" t="s">
        <v>192</v>
      </c>
    </row>
    <row r="72" spans="1:7" ht="15">
      <c r="A72" s="94" t="s">
        <v>194</v>
      </c>
      <c r="B72" s="95">
        <v>76</v>
      </c>
      <c r="C72" s="96">
        <f t="shared" si="3"/>
        <v>1.0795454545454544</v>
      </c>
      <c r="D72" s="97" t="s">
        <v>88</v>
      </c>
      <c r="E72" s="98">
        <v>10</v>
      </c>
      <c r="F72" s="99" t="s">
        <v>191</v>
      </c>
      <c r="G72" s="100" t="s">
        <v>192</v>
      </c>
    </row>
    <row r="73" spans="1:7" ht="15">
      <c r="A73" s="94" t="s">
        <v>195</v>
      </c>
      <c r="B73" s="95">
        <v>92</v>
      </c>
      <c r="C73" s="96">
        <f t="shared" si="3"/>
        <v>1.3068181818181817</v>
      </c>
      <c r="D73" s="97" t="s">
        <v>88</v>
      </c>
      <c r="E73" s="98">
        <v>10</v>
      </c>
      <c r="F73" s="99" t="s">
        <v>191</v>
      </c>
      <c r="G73" s="100" t="s">
        <v>192</v>
      </c>
    </row>
    <row r="74" spans="1:7" ht="15">
      <c r="A74" s="94" t="s">
        <v>196</v>
      </c>
      <c r="B74" s="95">
        <v>76</v>
      </c>
      <c r="C74" s="96">
        <f t="shared" si="3"/>
        <v>1.0795454545454544</v>
      </c>
      <c r="D74" s="97" t="s">
        <v>88</v>
      </c>
      <c r="E74" s="98">
        <v>10</v>
      </c>
      <c r="F74" s="99" t="s">
        <v>191</v>
      </c>
      <c r="G74" s="100" t="s">
        <v>192</v>
      </c>
    </row>
    <row r="75" spans="1:7" ht="15">
      <c r="A75" s="94" t="s">
        <v>197</v>
      </c>
      <c r="B75" s="95">
        <v>230</v>
      </c>
      <c r="C75" s="96">
        <f t="shared" si="3"/>
        <v>3.2670454545454541</v>
      </c>
      <c r="D75" s="97" t="s">
        <v>88</v>
      </c>
      <c r="E75" s="98">
        <v>10</v>
      </c>
      <c r="F75" s="99" t="s">
        <v>191</v>
      </c>
      <c r="G75" s="100" t="s">
        <v>192</v>
      </c>
    </row>
    <row r="76" spans="1:7" ht="15">
      <c r="A76" s="94" t="s">
        <v>198</v>
      </c>
      <c r="B76" s="95">
        <v>93</v>
      </c>
      <c r="C76" s="96">
        <f t="shared" si="3"/>
        <v>1.3210227272727271</v>
      </c>
      <c r="D76" s="97" t="s">
        <v>88</v>
      </c>
      <c r="E76" s="98">
        <v>10</v>
      </c>
      <c r="F76" s="99" t="s">
        <v>191</v>
      </c>
      <c r="G76" s="100" t="s">
        <v>192</v>
      </c>
    </row>
    <row r="77" spans="1:7" ht="15">
      <c r="A77" s="94" t="s">
        <v>199</v>
      </c>
      <c r="B77" s="95">
        <v>91</v>
      </c>
      <c r="C77" s="96">
        <f t="shared" si="3"/>
        <v>1.2926136363636362</v>
      </c>
      <c r="D77" s="97" t="s">
        <v>88</v>
      </c>
      <c r="E77" s="98">
        <v>10</v>
      </c>
      <c r="F77" s="99" t="s">
        <v>191</v>
      </c>
      <c r="G77" s="100" t="s">
        <v>192</v>
      </c>
    </row>
    <row r="78" spans="1:7" ht="15">
      <c r="A78" s="94" t="s">
        <v>200</v>
      </c>
      <c r="B78" s="95">
        <v>99</v>
      </c>
      <c r="C78" s="96">
        <f t="shared" si="3"/>
        <v>1.4062499999999998</v>
      </c>
      <c r="D78" s="97" t="s">
        <v>88</v>
      </c>
      <c r="E78" s="98">
        <v>10</v>
      </c>
      <c r="F78" s="99" t="s">
        <v>191</v>
      </c>
      <c r="G78" s="100" t="s">
        <v>192</v>
      </c>
    </row>
    <row r="79" spans="1:7" ht="15">
      <c r="A79" s="94" t="s">
        <v>201</v>
      </c>
      <c r="B79" s="95">
        <v>88</v>
      </c>
      <c r="C79" s="96">
        <f t="shared" si="3"/>
        <v>1.25</v>
      </c>
      <c r="D79" s="97" t="s">
        <v>88</v>
      </c>
      <c r="E79" s="98">
        <v>10</v>
      </c>
      <c r="F79" s="99" t="s">
        <v>191</v>
      </c>
      <c r="G79" s="100" t="s">
        <v>192</v>
      </c>
    </row>
    <row r="80" spans="1:7" ht="15">
      <c r="A80" s="94" t="s">
        <v>202</v>
      </c>
      <c r="B80" s="95">
        <v>98</v>
      </c>
      <c r="C80" s="96">
        <f t="shared" si="3"/>
        <v>1.3920454545454544</v>
      </c>
      <c r="D80" s="97" t="s">
        <v>88</v>
      </c>
      <c r="E80" s="98">
        <v>10</v>
      </c>
      <c r="F80" s="99" t="s">
        <v>191</v>
      </c>
      <c r="G80" s="100" t="s">
        <v>192</v>
      </c>
    </row>
    <row r="81" spans="1:7" ht="15">
      <c r="A81" s="94" t="s">
        <v>203</v>
      </c>
      <c r="B81" s="95">
        <v>139</v>
      </c>
      <c r="C81" s="96">
        <f t="shared" si="3"/>
        <v>1.9744318181818181</v>
      </c>
      <c r="D81" s="97" t="s">
        <v>88</v>
      </c>
      <c r="E81" s="98">
        <v>10</v>
      </c>
      <c r="F81" s="99" t="s">
        <v>191</v>
      </c>
      <c r="G81" s="100" t="s">
        <v>192</v>
      </c>
    </row>
    <row r="82" spans="1:7" ht="15">
      <c r="A82" s="94" t="s">
        <v>204</v>
      </c>
      <c r="B82" s="95">
        <v>97</v>
      </c>
      <c r="C82" s="96">
        <f t="shared" si="3"/>
        <v>1.3778409090909089</v>
      </c>
      <c r="D82" s="97" t="s">
        <v>88</v>
      </c>
      <c r="E82" s="98">
        <v>10</v>
      </c>
      <c r="F82" s="99" t="s">
        <v>191</v>
      </c>
      <c r="G82" s="100" t="s">
        <v>192</v>
      </c>
    </row>
    <row r="83" spans="1:7" ht="15">
      <c r="A83" s="94" t="s">
        <v>205</v>
      </c>
      <c r="B83" s="95">
        <v>98</v>
      </c>
      <c r="C83" s="96">
        <f t="shared" si="3"/>
        <v>1.3920454545454544</v>
      </c>
      <c r="D83" s="97" t="s">
        <v>88</v>
      </c>
      <c r="E83" s="98">
        <v>10</v>
      </c>
      <c r="F83" s="99" t="s">
        <v>191</v>
      </c>
      <c r="G83" s="100" t="s">
        <v>192</v>
      </c>
    </row>
    <row r="84" spans="1:7" ht="15">
      <c r="A84" s="94" t="s">
        <v>206</v>
      </c>
      <c r="B84" s="95">
        <v>91</v>
      </c>
      <c r="C84" s="96">
        <f t="shared" si="3"/>
        <v>1.2926136363636362</v>
      </c>
      <c r="D84" s="97" t="s">
        <v>88</v>
      </c>
      <c r="E84" s="98">
        <v>10</v>
      </c>
      <c r="F84" s="99" t="s">
        <v>191</v>
      </c>
      <c r="G84" s="100" t="s">
        <v>192</v>
      </c>
    </row>
    <row r="85" spans="1:7" ht="15">
      <c r="A85" s="94" t="s">
        <v>207</v>
      </c>
      <c r="B85" s="95">
        <v>99</v>
      </c>
      <c r="C85" s="96">
        <f t="shared" si="3"/>
        <v>1.4062499999999998</v>
      </c>
      <c r="D85" s="97" t="s">
        <v>88</v>
      </c>
      <c r="E85" s="98">
        <v>10</v>
      </c>
      <c r="F85" s="99" t="s">
        <v>191</v>
      </c>
      <c r="G85" s="100" t="s">
        <v>192</v>
      </c>
    </row>
    <row r="86" spans="1:7" ht="15">
      <c r="A86" s="94" t="s">
        <v>208</v>
      </c>
      <c r="B86" s="95">
        <v>88</v>
      </c>
      <c r="C86" s="96">
        <f t="shared" si="3"/>
        <v>1.25</v>
      </c>
      <c r="D86" s="97" t="s">
        <v>88</v>
      </c>
      <c r="E86" s="98">
        <v>10</v>
      </c>
      <c r="F86" s="99" t="s">
        <v>191</v>
      </c>
      <c r="G86" s="100" t="s">
        <v>192</v>
      </c>
    </row>
    <row r="87" spans="1:7" ht="15">
      <c r="A87" s="94" t="s">
        <v>209</v>
      </c>
      <c r="B87" s="95">
        <v>88</v>
      </c>
      <c r="C87" s="96">
        <f t="shared" si="3"/>
        <v>1.25</v>
      </c>
      <c r="D87" s="97" t="s">
        <v>88</v>
      </c>
      <c r="E87" s="98">
        <v>10</v>
      </c>
      <c r="F87" s="99" t="s">
        <v>191</v>
      </c>
      <c r="G87" s="100" t="s">
        <v>192</v>
      </c>
    </row>
    <row r="88" spans="1:7" ht="15">
      <c r="A88" s="94" t="s">
        <v>210</v>
      </c>
      <c r="B88" s="95">
        <v>54</v>
      </c>
      <c r="C88" s="96">
        <f t="shared" si="3"/>
        <v>0.76704545454545447</v>
      </c>
      <c r="D88" s="97" t="s">
        <v>88</v>
      </c>
      <c r="E88" s="98">
        <v>10</v>
      </c>
      <c r="F88" s="99" t="s">
        <v>191</v>
      </c>
      <c r="G88" s="100" t="s">
        <v>192</v>
      </c>
    </row>
    <row r="89" spans="1:7" ht="15">
      <c r="A89" s="94" t="s">
        <v>211</v>
      </c>
      <c r="B89" s="95">
        <v>64</v>
      </c>
      <c r="C89" s="96">
        <f t="shared" si="3"/>
        <v>0.90909090909090906</v>
      </c>
      <c r="D89" s="97" t="s">
        <v>88</v>
      </c>
      <c r="E89" s="98">
        <v>10</v>
      </c>
      <c r="F89" s="99" t="s">
        <v>191</v>
      </c>
      <c r="G89" s="100" t="s">
        <v>192</v>
      </c>
    </row>
    <row r="90" spans="1:7" ht="15">
      <c r="A90" s="94" t="s">
        <v>212</v>
      </c>
      <c r="B90" s="95">
        <v>54</v>
      </c>
      <c r="C90" s="96">
        <f t="shared" si="3"/>
        <v>0.76704545454545447</v>
      </c>
      <c r="D90" s="97" t="s">
        <v>88</v>
      </c>
      <c r="E90" s="98">
        <v>10</v>
      </c>
      <c r="F90" s="99" t="s">
        <v>191</v>
      </c>
      <c r="G90" s="100" t="s">
        <v>192</v>
      </c>
    </row>
    <row r="91" spans="1:7" ht="15">
      <c r="A91" s="94" t="s">
        <v>213</v>
      </c>
      <c r="B91" s="95">
        <v>128</v>
      </c>
      <c r="C91" s="96">
        <f t="shared" si="3"/>
        <v>1.8181818181818181</v>
      </c>
      <c r="D91" s="97" t="s">
        <v>88</v>
      </c>
      <c r="E91" s="98">
        <v>10</v>
      </c>
      <c r="F91" s="99" t="s">
        <v>191</v>
      </c>
      <c r="G91" s="100" t="s">
        <v>192</v>
      </c>
    </row>
    <row r="92" spans="1:7" ht="15">
      <c r="A92" s="94" t="s">
        <v>214</v>
      </c>
      <c r="B92" s="95">
        <v>123</v>
      </c>
      <c r="C92" s="96">
        <f t="shared" si="3"/>
        <v>1.7471590909090908</v>
      </c>
      <c r="D92" s="97" t="s">
        <v>88</v>
      </c>
      <c r="E92" s="98">
        <v>10</v>
      </c>
      <c r="F92" s="99" t="s">
        <v>191</v>
      </c>
      <c r="G92" s="100" t="s">
        <v>192</v>
      </c>
    </row>
    <row r="93" spans="1:7" ht="15">
      <c r="A93" s="94" t="s">
        <v>215</v>
      </c>
      <c r="B93" s="95">
        <v>80</v>
      </c>
      <c r="C93" s="96">
        <f t="shared" si="3"/>
        <v>1.1363636363636362</v>
      </c>
      <c r="D93" s="97" t="s">
        <v>88</v>
      </c>
      <c r="E93" s="98">
        <v>10</v>
      </c>
      <c r="F93" s="99" t="s">
        <v>191</v>
      </c>
      <c r="G93" s="100" t="s">
        <v>192</v>
      </c>
    </row>
    <row r="94" spans="1:7" ht="15">
      <c r="A94" s="94" t="s">
        <v>216</v>
      </c>
      <c r="B94" s="95">
        <v>83</v>
      </c>
      <c r="C94" s="96">
        <f t="shared" si="3"/>
        <v>1.1789772727272727</v>
      </c>
      <c r="D94" s="97" t="s">
        <v>88</v>
      </c>
      <c r="E94" s="98">
        <v>10</v>
      </c>
      <c r="F94" s="99" t="s">
        <v>191</v>
      </c>
      <c r="G94" s="100" t="s">
        <v>192</v>
      </c>
    </row>
    <row r="95" spans="1:7" ht="15">
      <c r="A95" s="94" t="s">
        <v>217</v>
      </c>
      <c r="B95" s="95">
        <v>85</v>
      </c>
      <c r="C95" s="96">
        <f t="shared" si="3"/>
        <v>1.2073863636363635</v>
      </c>
      <c r="D95" s="97" t="s">
        <v>88</v>
      </c>
      <c r="E95" s="98">
        <v>10</v>
      </c>
      <c r="F95" s="99" t="s">
        <v>191</v>
      </c>
      <c r="G95" s="100" t="s">
        <v>192</v>
      </c>
    </row>
    <row r="96" spans="1:7" ht="15">
      <c r="A96" s="94" t="s">
        <v>218</v>
      </c>
      <c r="B96" s="95">
        <v>87</v>
      </c>
      <c r="C96" s="96">
        <f t="shared" si="3"/>
        <v>1.2357954545454544</v>
      </c>
      <c r="D96" s="97" t="s">
        <v>88</v>
      </c>
      <c r="E96" s="98">
        <v>10</v>
      </c>
      <c r="F96" s="99" t="s">
        <v>191</v>
      </c>
      <c r="G96" s="100" t="s">
        <v>192</v>
      </c>
    </row>
    <row r="97" spans="1:7" ht="15">
      <c r="A97" s="94" t="s">
        <v>219</v>
      </c>
      <c r="B97" s="95">
        <v>73</v>
      </c>
      <c r="C97" s="96">
        <f t="shared" si="3"/>
        <v>1.0369318181818181</v>
      </c>
      <c r="D97" s="97" t="s">
        <v>88</v>
      </c>
      <c r="E97" s="98">
        <v>10</v>
      </c>
      <c r="F97" s="99" t="s">
        <v>191</v>
      </c>
      <c r="G97" s="100" t="s">
        <v>192</v>
      </c>
    </row>
    <row r="98" spans="1:7" ht="15">
      <c r="A98" s="94" t="s">
        <v>220</v>
      </c>
      <c r="B98" s="95">
        <v>92</v>
      </c>
      <c r="C98" s="96">
        <f t="shared" si="3"/>
        <v>1.3068181818181817</v>
      </c>
      <c r="D98" s="97" t="s">
        <v>88</v>
      </c>
      <c r="E98" s="98">
        <v>10</v>
      </c>
      <c r="F98" s="99" t="s">
        <v>191</v>
      </c>
      <c r="G98" s="100" t="s">
        <v>192</v>
      </c>
    </row>
    <row r="99" spans="1:7" ht="15">
      <c r="A99" s="94" t="s">
        <v>221</v>
      </c>
      <c r="B99" s="95">
        <v>77</v>
      </c>
      <c r="C99" s="96">
        <f t="shared" si="3"/>
        <v>1.09375</v>
      </c>
      <c r="D99" s="97" t="s">
        <v>88</v>
      </c>
      <c r="E99" s="98">
        <v>10</v>
      </c>
      <c r="F99" s="99" t="s">
        <v>191</v>
      </c>
      <c r="G99" s="100" t="s">
        <v>192</v>
      </c>
    </row>
    <row r="100" spans="1:7" ht="15">
      <c r="A100" s="94" t="s">
        <v>222</v>
      </c>
      <c r="B100" s="95">
        <v>80</v>
      </c>
      <c r="C100" s="96">
        <f t="shared" si="3"/>
        <v>1.1363636363636362</v>
      </c>
      <c r="D100" s="97" t="s">
        <v>88</v>
      </c>
      <c r="E100" s="98">
        <v>10</v>
      </c>
      <c r="F100" s="99" t="s">
        <v>191</v>
      </c>
      <c r="G100" s="100" t="s">
        <v>192</v>
      </c>
    </row>
    <row r="101" spans="1:7" ht="15">
      <c r="A101" s="94" t="s">
        <v>223</v>
      </c>
      <c r="B101" s="95">
        <v>76</v>
      </c>
      <c r="C101" s="96">
        <f t="shared" si="3"/>
        <v>1.0795454545454544</v>
      </c>
      <c r="D101" s="97" t="s">
        <v>88</v>
      </c>
      <c r="E101" s="98">
        <v>10</v>
      </c>
      <c r="F101" s="99" t="s">
        <v>191</v>
      </c>
      <c r="G101" s="100" t="s">
        <v>192</v>
      </c>
    </row>
    <row r="102" spans="1:7" ht="20.25">
      <c r="A102" s="88" t="s">
        <v>224</v>
      </c>
      <c r="B102" s="95"/>
      <c r="C102" s="96"/>
      <c r="D102" s="101"/>
      <c r="E102" s="98"/>
      <c r="F102" s="98"/>
      <c r="G102" s="107"/>
    </row>
    <row r="103" spans="1:7" ht="15">
      <c r="A103" s="94" t="s">
        <v>225</v>
      </c>
      <c r="B103" s="95"/>
      <c r="C103" s="96"/>
      <c r="D103" s="101"/>
      <c r="E103" s="98"/>
      <c r="F103" s="98"/>
      <c r="G103" s="107"/>
    </row>
    <row r="104" spans="1:7" ht="15">
      <c r="A104" s="94" t="s">
        <v>226</v>
      </c>
      <c r="B104" s="89"/>
      <c r="C104" s="90"/>
      <c r="D104" s="101"/>
      <c r="E104" s="92"/>
      <c r="F104" s="92"/>
      <c r="G104" s="93"/>
    </row>
    <row r="105" spans="1:7" ht="15">
      <c r="A105" s="94" t="s">
        <v>227</v>
      </c>
      <c r="B105" s="95">
        <v>2860</v>
      </c>
      <c r="C105" s="96">
        <f>B105/70.4</f>
        <v>40.625</v>
      </c>
      <c r="D105" s="101" t="s">
        <v>100</v>
      </c>
      <c r="E105" s="98">
        <v>0.5</v>
      </c>
      <c r="F105" s="99" t="s">
        <v>153</v>
      </c>
      <c r="G105" s="107" t="s">
        <v>228</v>
      </c>
    </row>
    <row r="106" spans="1:7" ht="15">
      <c r="A106" s="94" t="s">
        <v>229</v>
      </c>
      <c r="B106" s="95">
        <v>2860</v>
      </c>
      <c r="C106" s="96">
        <f>B106/70.4</f>
        <v>40.625</v>
      </c>
      <c r="D106" s="101" t="s">
        <v>100</v>
      </c>
      <c r="E106" s="98">
        <v>0.5</v>
      </c>
      <c r="F106" s="99" t="s">
        <v>153</v>
      </c>
      <c r="G106" s="107" t="s">
        <v>228</v>
      </c>
    </row>
    <row r="107" spans="1:7" ht="15">
      <c r="A107" s="94" t="s">
        <v>230</v>
      </c>
      <c r="B107" s="95">
        <v>2940</v>
      </c>
      <c r="C107" s="96">
        <f>B107/70.4</f>
        <v>41.761363636363633</v>
      </c>
      <c r="D107" s="101" t="s">
        <v>100</v>
      </c>
      <c r="E107" s="98">
        <v>0.5</v>
      </c>
      <c r="F107" s="99" t="s">
        <v>231</v>
      </c>
      <c r="G107" s="107" t="s">
        <v>113</v>
      </c>
    </row>
    <row r="108" spans="1:7" ht="15">
      <c r="A108" s="108" t="s">
        <v>232</v>
      </c>
      <c r="B108" s="95">
        <v>3081</v>
      </c>
      <c r="C108" s="96">
        <f>B108/70.4</f>
        <v>43.76420454545454</v>
      </c>
      <c r="D108" s="101" t="s">
        <v>100</v>
      </c>
      <c r="E108" s="98">
        <v>0.5</v>
      </c>
      <c r="F108" s="99" t="s">
        <v>231</v>
      </c>
      <c r="G108" s="107" t="s">
        <v>113</v>
      </c>
    </row>
    <row r="109" spans="1:7" ht="15">
      <c r="A109" s="108" t="s">
        <v>233</v>
      </c>
      <c r="B109" s="95">
        <v>2730</v>
      </c>
      <c r="C109" s="96">
        <f>B109/70.4</f>
        <v>38.778409090909086</v>
      </c>
      <c r="D109" s="101" t="s">
        <v>100</v>
      </c>
      <c r="E109" s="98">
        <v>1</v>
      </c>
      <c r="F109" s="99" t="s">
        <v>153</v>
      </c>
      <c r="G109" s="107" t="s">
        <v>228</v>
      </c>
    </row>
    <row r="110" spans="1:7" ht="15">
      <c r="A110" s="108"/>
      <c r="B110" s="95"/>
      <c r="C110" s="96"/>
      <c r="D110" s="97"/>
      <c r="E110" s="98"/>
      <c r="F110" s="98"/>
      <c r="G110" s="107"/>
    </row>
    <row r="111" spans="1:7" ht="15">
      <c r="A111" s="94"/>
      <c r="B111" s="95"/>
      <c r="C111" s="96"/>
      <c r="D111" s="101"/>
      <c r="E111" s="98"/>
      <c r="F111" s="98"/>
      <c r="G111" s="107"/>
    </row>
    <row r="112" spans="1:7" ht="20.25">
      <c r="A112" s="88" t="s">
        <v>234</v>
      </c>
      <c r="B112" s="89"/>
      <c r="C112" s="90"/>
      <c r="D112" s="101"/>
      <c r="E112" s="104"/>
      <c r="F112" s="104"/>
      <c r="G112" s="105"/>
    </row>
    <row r="113" spans="1:7" ht="15">
      <c r="A113" s="94" t="s">
        <v>235</v>
      </c>
      <c r="B113" s="95">
        <v>1320</v>
      </c>
      <c r="C113" s="96">
        <f t="shared" ref="C113:C118" si="4">B113/70.4</f>
        <v>18.75</v>
      </c>
      <c r="D113" s="101" t="s">
        <v>100</v>
      </c>
      <c r="E113" s="98">
        <v>2.5</v>
      </c>
      <c r="F113" s="99" t="s">
        <v>231</v>
      </c>
      <c r="G113" s="107" t="s">
        <v>113</v>
      </c>
    </row>
    <row r="114" spans="1:7" ht="15">
      <c r="A114" s="94" t="s">
        <v>236</v>
      </c>
      <c r="B114" s="95">
        <v>990</v>
      </c>
      <c r="C114" s="96">
        <f t="shared" si="4"/>
        <v>14.062499999999998</v>
      </c>
      <c r="D114" s="101" t="s">
        <v>100</v>
      </c>
      <c r="E114" s="98">
        <v>5</v>
      </c>
      <c r="F114" s="99" t="s">
        <v>231</v>
      </c>
      <c r="G114" s="107" t="s">
        <v>113</v>
      </c>
    </row>
    <row r="115" spans="1:7" ht="15">
      <c r="A115" s="94" t="s">
        <v>237</v>
      </c>
      <c r="B115" s="95">
        <v>743</v>
      </c>
      <c r="C115" s="96">
        <f t="shared" si="4"/>
        <v>10.553977272727272</v>
      </c>
      <c r="D115" s="101" t="s">
        <v>100</v>
      </c>
      <c r="E115" s="98">
        <v>5</v>
      </c>
      <c r="F115" s="99" t="s">
        <v>231</v>
      </c>
      <c r="G115" s="107" t="s">
        <v>113</v>
      </c>
    </row>
    <row r="116" spans="1:7" ht="15">
      <c r="A116" s="94" t="s">
        <v>238</v>
      </c>
      <c r="B116" s="95">
        <v>550</v>
      </c>
      <c r="C116" s="96">
        <f t="shared" si="4"/>
        <v>7.8124999999999991</v>
      </c>
      <c r="D116" s="101" t="s">
        <v>100</v>
      </c>
      <c r="E116" s="98">
        <v>5</v>
      </c>
      <c r="F116" s="99" t="s">
        <v>231</v>
      </c>
      <c r="G116" s="107" t="s">
        <v>113</v>
      </c>
    </row>
    <row r="117" spans="1:7" ht="15">
      <c r="A117" s="94" t="s">
        <v>239</v>
      </c>
      <c r="B117" s="95">
        <v>273</v>
      </c>
      <c r="C117" s="96">
        <f t="shared" si="4"/>
        <v>3.8778409090909087</v>
      </c>
      <c r="D117" s="101" t="s">
        <v>100</v>
      </c>
      <c r="E117" s="98">
        <v>5</v>
      </c>
      <c r="F117" s="99" t="s">
        <v>231</v>
      </c>
      <c r="G117" s="107" t="s">
        <v>113</v>
      </c>
    </row>
    <row r="118" spans="1:7" ht="15">
      <c r="A118" s="94" t="s">
        <v>240</v>
      </c>
      <c r="B118" s="95">
        <v>284</v>
      </c>
      <c r="C118" s="96">
        <f t="shared" si="4"/>
        <v>4.0340909090909092</v>
      </c>
      <c r="D118" s="101" t="s">
        <v>141</v>
      </c>
      <c r="E118" s="98">
        <v>10</v>
      </c>
      <c r="F118" s="99" t="s">
        <v>231</v>
      </c>
      <c r="G118" s="107" t="s">
        <v>113</v>
      </c>
    </row>
    <row r="119" spans="1:7" ht="15">
      <c r="A119" s="94"/>
      <c r="B119" s="95"/>
      <c r="C119" s="96"/>
      <c r="D119" s="101"/>
      <c r="E119" s="98"/>
      <c r="F119" s="98"/>
      <c r="G119" s="107"/>
    </row>
    <row r="120" spans="1:7" ht="20.25">
      <c r="A120" s="88" t="s">
        <v>241</v>
      </c>
      <c r="B120" s="89"/>
      <c r="C120" s="90"/>
      <c r="D120" s="101"/>
      <c r="E120" s="104"/>
      <c r="F120" s="104"/>
      <c r="G120" s="105"/>
    </row>
    <row r="121" spans="1:7" ht="15">
      <c r="A121" s="94" t="s">
        <v>242</v>
      </c>
      <c r="B121" s="95">
        <v>675</v>
      </c>
      <c r="C121" s="96">
        <f>B121/70.4</f>
        <v>9.5880681818181817</v>
      </c>
      <c r="D121" s="101" t="s">
        <v>100</v>
      </c>
      <c r="E121" s="98">
        <v>5</v>
      </c>
      <c r="F121" s="99" t="s">
        <v>231</v>
      </c>
      <c r="G121" s="107" t="s">
        <v>113</v>
      </c>
    </row>
    <row r="122" spans="1:7" ht="15">
      <c r="A122" s="94"/>
      <c r="B122" s="95"/>
      <c r="C122" s="96"/>
      <c r="D122" s="101"/>
      <c r="E122" s="98"/>
      <c r="F122" s="99" t="s">
        <v>231</v>
      </c>
      <c r="G122" s="107" t="s">
        <v>113</v>
      </c>
    </row>
    <row r="123" spans="1:7" ht="20.25">
      <c r="A123" s="88" t="s">
        <v>243</v>
      </c>
      <c r="B123" s="89"/>
      <c r="C123" s="90"/>
      <c r="D123" s="101"/>
      <c r="E123" s="104"/>
      <c r="F123" s="99" t="s">
        <v>231</v>
      </c>
      <c r="G123" s="107" t="s">
        <v>113</v>
      </c>
    </row>
    <row r="124" spans="1:7" ht="15">
      <c r="A124" s="94" t="s">
        <v>244</v>
      </c>
      <c r="B124" s="95">
        <v>600</v>
      </c>
      <c r="C124" s="96">
        <f>B124/70.4</f>
        <v>8.5227272727272716</v>
      </c>
      <c r="D124" s="101" t="s">
        <v>100</v>
      </c>
      <c r="E124" s="98">
        <v>5</v>
      </c>
      <c r="F124" s="99" t="s">
        <v>231</v>
      </c>
      <c r="G124" s="107" t="s">
        <v>113</v>
      </c>
    </row>
    <row r="125" spans="1:7" ht="15">
      <c r="A125" s="94"/>
      <c r="B125" s="95"/>
      <c r="C125" s="96"/>
      <c r="D125" s="101"/>
      <c r="E125" s="98"/>
      <c r="F125" s="99" t="s">
        <v>231</v>
      </c>
      <c r="G125" s="107" t="s">
        <v>113</v>
      </c>
    </row>
    <row r="126" spans="1:7" ht="20.25">
      <c r="A126" s="88" t="s">
        <v>245</v>
      </c>
      <c r="B126" s="89"/>
      <c r="C126" s="90"/>
      <c r="D126" s="101"/>
      <c r="E126" s="104"/>
      <c r="F126" s="99" t="s">
        <v>231</v>
      </c>
      <c r="G126" s="107" t="s">
        <v>113</v>
      </c>
    </row>
    <row r="127" spans="1:7" ht="15">
      <c r="A127" s="94" t="s">
        <v>246</v>
      </c>
      <c r="B127" s="95">
        <v>544</v>
      </c>
      <c r="C127" s="96">
        <f>B127/70.4</f>
        <v>7.7272727272727266</v>
      </c>
      <c r="D127" s="101" t="s">
        <v>100</v>
      </c>
      <c r="E127" s="98">
        <v>5</v>
      </c>
      <c r="F127" s="99" t="s">
        <v>231</v>
      </c>
      <c r="G127" s="107" t="s">
        <v>113</v>
      </c>
    </row>
    <row r="128" spans="1:7" ht="15">
      <c r="A128" s="94"/>
      <c r="B128" s="95"/>
      <c r="C128" s="96"/>
      <c r="D128" s="101"/>
      <c r="E128" s="98"/>
      <c r="F128" s="99" t="s">
        <v>231</v>
      </c>
      <c r="G128" s="107" t="s">
        <v>113</v>
      </c>
    </row>
    <row r="129" spans="1:7" ht="20.25">
      <c r="A129" s="88" t="s">
        <v>247</v>
      </c>
      <c r="B129" s="89"/>
      <c r="C129" s="90"/>
      <c r="D129" s="101"/>
      <c r="E129" s="104"/>
      <c r="F129" s="99" t="s">
        <v>231</v>
      </c>
      <c r="G129" s="107" t="s">
        <v>113</v>
      </c>
    </row>
    <row r="130" spans="1:7" ht="15">
      <c r="A130" s="94" t="s">
        <v>248</v>
      </c>
      <c r="B130" s="95">
        <v>1802</v>
      </c>
      <c r="C130" s="96">
        <f>B130/70.4</f>
        <v>25.596590909090907</v>
      </c>
      <c r="D130" s="101" t="s">
        <v>249</v>
      </c>
      <c r="E130" s="98">
        <v>1</v>
      </c>
      <c r="F130" s="99" t="s">
        <v>231</v>
      </c>
      <c r="G130" s="107" t="s">
        <v>113</v>
      </c>
    </row>
    <row r="131" spans="1:7" ht="15">
      <c r="A131" s="94"/>
      <c r="B131" s="95"/>
      <c r="C131" s="96"/>
      <c r="D131" s="101"/>
      <c r="E131" s="98"/>
      <c r="F131" s="99" t="s">
        <v>231</v>
      </c>
      <c r="G131" s="107" t="s">
        <v>113</v>
      </c>
    </row>
    <row r="132" spans="1:7" ht="20.25">
      <c r="A132" s="88" t="s">
        <v>250</v>
      </c>
      <c r="B132" s="89"/>
      <c r="C132" s="90"/>
      <c r="D132" s="101"/>
      <c r="E132" s="92"/>
      <c r="F132" s="99" t="s">
        <v>231</v>
      </c>
      <c r="G132" s="107" t="s">
        <v>113</v>
      </c>
    </row>
    <row r="133" spans="1:7" ht="15">
      <c r="A133" s="94" t="s">
        <v>251</v>
      </c>
      <c r="B133" s="95">
        <v>413</v>
      </c>
      <c r="C133" s="96">
        <f>B133/70.4</f>
        <v>5.8664772727272725</v>
      </c>
      <c r="D133" s="101" t="s">
        <v>100</v>
      </c>
      <c r="E133" s="98">
        <v>10</v>
      </c>
      <c r="F133" s="99" t="s">
        <v>231</v>
      </c>
      <c r="G133" s="107" t="s">
        <v>113</v>
      </c>
    </row>
    <row r="134" spans="1:7" ht="15">
      <c r="A134" s="94" t="s">
        <v>252</v>
      </c>
      <c r="B134" s="95">
        <v>311</v>
      </c>
      <c r="C134" s="96">
        <f>B134/70.4</f>
        <v>4.4176136363636358</v>
      </c>
      <c r="D134" s="97" t="s">
        <v>88</v>
      </c>
      <c r="E134" s="98">
        <v>10</v>
      </c>
      <c r="F134" s="98" t="s">
        <v>253</v>
      </c>
      <c r="G134" s="107" t="s">
        <v>113</v>
      </c>
    </row>
    <row r="135" spans="1:7" ht="15">
      <c r="A135" s="94" t="s">
        <v>254</v>
      </c>
      <c r="B135" s="95">
        <v>588</v>
      </c>
      <c r="C135" s="96">
        <f>B135/70.4</f>
        <v>8.3522727272727266</v>
      </c>
      <c r="D135" s="97" t="s">
        <v>88</v>
      </c>
      <c r="E135" s="98">
        <v>10</v>
      </c>
      <c r="F135" s="99" t="s">
        <v>231</v>
      </c>
      <c r="G135" s="107" t="s">
        <v>113</v>
      </c>
    </row>
    <row r="136" spans="1:7" ht="15">
      <c r="A136" s="94" t="s">
        <v>255</v>
      </c>
      <c r="B136" s="95">
        <v>289</v>
      </c>
      <c r="C136" s="96">
        <f>B136/70.4</f>
        <v>4.1051136363636358</v>
      </c>
      <c r="D136" s="97" t="s">
        <v>88</v>
      </c>
      <c r="E136" s="98">
        <v>10</v>
      </c>
      <c r="F136" s="99" t="s">
        <v>231</v>
      </c>
      <c r="G136" s="107" t="s">
        <v>113</v>
      </c>
    </row>
    <row r="137" spans="1:7" ht="15">
      <c r="A137" s="94" t="s">
        <v>256</v>
      </c>
      <c r="B137" s="95">
        <v>289</v>
      </c>
      <c r="C137" s="96">
        <f>B137/70.4</f>
        <v>4.1051136363636358</v>
      </c>
      <c r="D137" s="97" t="s">
        <v>88</v>
      </c>
      <c r="E137" s="98">
        <v>10</v>
      </c>
      <c r="F137" s="99" t="s">
        <v>231</v>
      </c>
      <c r="G137" s="107" t="s">
        <v>113</v>
      </c>
    </row>
    <row r="138" spans="1:7" ht="15">
      <c r="A138" s="94"/>
      <c r="B138" s="95"/>
      <c r="C138" s="96"/>
      <c r="D138" s="101"/>
      <c r="E138" s="98"/>
      <c r="F138" s="98"/>
      <c r="G138" s="107"/>
    </row>
    <row r="139" spans="1:7" ht="20.25">
      <c r="A139" s="88" t="s">
        <v>257</v>
      </c>
      <c r="B139" s="89"/>
      <c r="C139" s="90"/>
      <c r="D139" s="101"/>
      <c r="E139" s="92"/>
      <c r="F139" s="92"/>
      <c r="G139" s="93"/>
    </row>
    <row r="140" spans="1:7" ht="15">
      <c r="A140" s="94" t="s">
        <v>258</v>
      </c>
      <c r="B140" s="95">
        <v>1183</v>
      </c>
      <c r="C140" s="96">
        <f t="shared" ref="C140:C146" si="5">B140/70.4</f>
        <v>16.80397727272727</v>
      </c>
      <c r="D140" s="101" t="s">
        <v>100</v>
      </c>
      <c r="E140" s="98">
        <v>2.5</v>
      </c>
      <c r="F140" s="99" t="s">
        <v>259</v>
      </c>
      <c r="G140" s="100" t="s">
        <v>260</v>
      </c>
    </row>
    <row r="141" spans="1:7" ht="15">
      <c r="A141" s="94" t="s">
        <v>261</v>
      </c>
      <c r="B141" s="95">
        <v>476</v>
      </c>
      <c r="C141" s="96">
        <f t="shared" si="5"/>
        <v>6.7613636363636358</v>
      </c>
      <c r="D141" s="101" t="s">
        <v>100</v>
      </c>
      <c r="E141" s="98">
        <v>1</v>
      </c>
      <c r="F141" s="99" t="s">
        <v>170</v>
      </c>
      <c r="G141" s="100" t="s">
        <v>262</v>
      </c>
    </row>
    <row r="142" spans="1:7" ht="15">
      <c r="A142" s="94" t="s">
        <v>263</v>
      </c>
      <c r="B142" s="95">
        <v>1358</v>
      </c>
      <c r="C142" s="96">
        <f t="shared" si="5"/>
        <v>19.289772727272727</v>
      </c>
      <c r="D142" s="101" t="s">
        <v>100</v>
      </c>
      <c r="E142" s="98">
        <v>1</v>
      </c>
      <c r="F142" s="99" t="s">
        <v>170</v>
      </c>
      <c r="G142" s="100" t="s">
        <v>264</v>
      </c>
    </row>
    <row r="143" spans="1:7" ht="15">
      <c r="A143" s="94" t="s">
        <v>265</v>
      </c>
      <c r="B143" s="95">
        <v>1769</v>
      </c>
      <c r="C143" s="96">
        <f t="shared" si="5"/>
        <v>25.127840909090907</v>
      </c>
      <c r="D143" s="101" t="s">
        <v>100</v>
      </c>
      <c r="E143" s="98">
        <v>1</v>
      </c>
      <c r="F143" s="99" t="s">
        <v>170</v>
      </c>
      <c r="G143" s="100" t="s">
        <v>262</v>
      </c>
    </row>
    <row r="144" spans="1:7" ht="15">
      <c r="A144" s="94" t="s">
        <v>266</v>
      </c>
      <c r="B144" s="95">
        <v>1486</v>
      </c>
      <c r="C144" s="96">
        <f t="shared" si="5"/>
        <v>21.107954545454543</v>
      </c>
      <c r="D144" s="101" t="s">
        <v>100</v>
      </c>
      <c r="E144" s="98">
        <v>1</v>
      </c>
      <c r="F144" s="99" t="s">
        <v>170</v>
      </c>
      <c r="G144" s="100" t="s">
        <v>262</v>
      </c>
    </row>
    <row r="145" spans="1:7" ht="15">
      <c r="A145" s="94" t="s">
        <v>267</v>
      </c>
      <c r="B145" s="95">
        <v>1556</v>
      </c>
      <c r="C145" s="96">
        <f t="shared" si="5"/>
        <v>22.102272727272727</v>
      </c>
      <c r="D145" s="101" t="s">
        <v>100</v>
      </c>
      <c r="E145" s="98">
        <v>1</v>
      </c>
      <c r="F145" s="99" t="s">
        <v>170</v>
      </c>
      <c r="G145" s="100" t="s">
        <v>262</v>
      </c>
    </row>
    <row r="146" spans="1:7" ht="15">
      <c r="A146" s="94" t="s">
        <v>268</v>
      </c>
      <c r="B146" s="95">
        <v>1467</v>
      </c>
      <c r="C146" s="96">
        <f t="shared" si="5"/>
        <v>20.83806818181818</v>
      </c>
      <c r="D146" s="101" t="s">
        <v>100</v>
      </c>
      <c r="E146" s="98">
        <v>1</v>
      </c>
      <c r="F146" s="99" t="s">
        <v>231</v>
      </c>
      <c r="G146" s="100" t="s">
        <v>269</v>
      </c>
    </row>
    <row r="147" spans="1:7" ht="15">
      <c r="A147" s="94"/>
      <c r="B147" s="95"/>
      <c r="C147" s="96"/>
      <c r="D147" s="101"/>
      <c r="E147" s="98"/>
      <c r="F147" s="99"/>
      <c r="G147" s="100"/>
    </row>
    <row r="148" spans="1:7" ht="15">
      <c r="A148" s="94"/>
      <c r="B148" s="95"/>
      <c r="C148" s="96"/>
      <c r="D148" s="101"/>
      <c r="E148" s="98"/>
      <c r="F148" s="99"/>
      <c r="G148" s="100"/>
    </row>
    <row r="149" spans="1:7" ht="27.75">
      <c r="A149" s="109" t="s">
        <v>270</v>
      </c>
      <c r="B149" s="89"/>
      <c r="C149" s="90"/>
      <c r="D149" s="101"/>
      <c r="E149" s="92"/>
      <c r="F149" s="99"/>
      <c r="G149" s="100"/>
    </row>
    <row r="150" spans="1:7" ht="20.25">
      <c r="A150" s="88" t="s">
        <v>271</v>
      </c>
      <c r="B150" s="89"/>
      <c r="C150" s="90"/>
      <c r="D150" s="101"/>
      <c r="E150" s="104"/>
      <c r="F150" s="99"/>
      <c r="G150" s="100"/>
    </row>
    <row r="151" spans="1:7" ht="15">
      <c r="A151" s="94" t="s">
        <v>272</v>
      </c>
      <c r="B151" s="95">
        <v>2464</v>
      </c>
      <c r="C151" s="96">
        <f>B151/70.4</f>
        <v>35</v>
      </c>
      <c r="D151" s="101" t="s">
        <v>100</v>
      </c>
      <c r="E151" s="98">
        <v>1</v>
      </c>
      <c r="F151" s="99" t="s">
        <v>155</v>
      </c>
      <c r="G151" s="100" t="s">
        <v>273</v>
      </c>
    </row>
    <row r="152" spans="1:7" ht="15">
      <c r="A152" s="94" t="s">
        <v>274</v>
      </c>
      <c r="B152" s="95">
        <v>2044</v>
      </c>
      <c r="C152" s="96">
        <f>B152/70.4</f>
        <v>29.034090909090907</v>
      </c>
      <c r="D152" s="101" t="s">
        <v>100</v>
      </c>
      <c r="E152" s="98">
        <v>1</v>
      </c>
      <c r="F152" s="99" t="s">
        <v>155</v>
      </c>
      <c r="G152" s="100" t="s">
        <v>273</v>
      </c>
    </row>
    <row r="153" spans="1:7" ht="15">
      <c r="A153" s="94" t="s">
        <v>275</v>
      </c>
      <c r="B153" s="95">
        <v>2233</v>
      </c>
      <c r="C153" s="96">
        <f>B153/70.4</f>
        <v>31.718749999999996</v>
      </c>
      <c r="D153" s="101" t="s">
        <v>100</v>
      </c>
      <c r="E153" s="98">
        <v>1</v>
      </c>
      <c r="F153" s="99" t="s">
        <v>170</v>
      </c>
      <c r="G153" s="100" t="s">
        <v>273</v>
      </c>
    </row>
    <row r="154" spans="1:7" ht="15">
      <c r="A154" s="94" t="s">
        <v>276</v>
      </c>
      <c r="B154" s="95">
        <v>1859</v>
      </c>
      <c r="C154" s="96">
        <f>B154/70.4</f>
        <v>26.406249999999996</v>
      </c>
      <c r="D154" s="101" t="s">
        <v>100</v>
      </c>
      <c r="E154" s="98">
        <v>1</v>
      </c>
      <c r="F154" s="99" t="s">
        <v>170</v>
      </c>
      <c r="G154" s="100" t="s">
        <v>273</v>
      </c>
    </row>
    <row r="155" spans="1:7" ht="15">
      <c r="A155" s="94"/>
      <c r="B155" s="95"/>
      <c r="C155" s="96"/>
      <c r="D155" s="101"/>
      <c r="E155" s="98"/>
      <c r="F155" s="99"/>
      <c r="G155" s="100"/>
    </row>
    <row r="156" spans="1:7" ht="20.25">
      <c r="A156" s="88" t="s">
        <v>277</v>
      </c>
      <c r="B156" s="89"/>
      <c r="C156" s="90"/>
      <c r="D156" s="101"/>
      <c r="E156" s="104"/>
      <c r="F156" s="99"/>
      <c r="G156" s="100"/>
    </row>
    <row r="157" spans="1:7" ht="15">
      <c r="A157" s="94" t="s">
        <v>278</v>
      </c>
      <c r="B157" s="95">
        <v>83</v>
      </c>
      <c r="C157" s="96">
        <f>B157/70.4</f>
        <v>1.1789772727272727</v>
      </c>
      <c r="D157" s="97" t="s">
        <v>88</v>
      </c>
      <c r="E157" s="98">
        <v>10</v>
      </c>
      <c r="F157" s="99" t="s">
        <v>155</v>
      </c>
      <c r="G157" s="100" t="s">
        <v>273</v>
      </c>
    </row>
    <row r="158" spans="1:7" ht="15">
      <c r="A158" s="94" t="s">
        <v>279</v>
      </c>
      <c r="B158" s="95">
        <v>112</v>
      </c>
      <c r="C158" s="96">
        <f>B158/70.4</f>
        <v>1.5909090909090908</v>
      </c>
      <c r="D158" s="97" t="s">
        <v>88</v>
      </c>
      <c r="E158" s="98">
        <v>10</v>
      </c>
      <c r="F158" s="99" t="s">
        <v>170</v>
      </c>
      <c r="G158" s="100" t="s">
        <v>273</v>
      </c>
    </row>
    <row r="159" spans="1:7" ht="15">
      <c r="A159" s="94" t="s">
        <v>280</v>
      </c>
      <c r="B159" s="95">
        <v>51</v>
      </c>
      <c r="C159" s="96">
        <f>B159/70.4</f>
        <v>0.72443181818181812</v>
      </c>
      <c r="D159" s="97" t="s">
        <v>88</v>
      </c>
      <c r="E159" s="98">
        <v>10</v>
      </c>
      <c r="F159" s="99" t="s">
        <v>170</v>
      </c>
      <c r="G159" s="100" t="s">
        <v>273</v>
      </c>
    </row>
    <row r="160" spans="1:7" ht="15">
      <c r="A160" s="94" t="s">
        <v>281</v>
      </c>
      <c r="B160" s="95">
        <v>67</v>
      </c>
      <c r="C160" s="96">
        <f>B160/70.4</f>
        <v>0.95170454545454541</v>
      </c>
      <c r="D160" s="97" t="s">
        <v>88</v>
      </c>
      <c r="E160" s="98">
        <v>10</v>
      </c>
      <c r="F160" s="99" t="s">
        <v>170</v>
      </c>
      <c r="G160" s="100" t="s">
        <v>273</v>
      </c>
    </row>
    <row r="161" spans="1:7" ht="15">
      <c r="A161" s="94"/>
      <c r="B161" s="95"/>
      <c r="C161" s="96"/>
      <c r="D161" s="97"/>
      <c r="E161" s="98"/>
      <c r="F161" s="99"/>
      <c r="G161" s="100"/>
    </row>
    <row r="162" spans="1:7" ht="15">
      <c r="A162" s="94"/>
      <c r="B162" s="95"/>
      <c r="C162" s="96"/>
      <c r="D162" s="97"/>
      <c r="E162" s="98"/>
      <c r="F162" s="99"/>
      <c r="G162" s="100"/>
    </row>
    <row r="163" spans="1:7" ht="20.25">
      <c r="A163" s="88" t="s">
        <v>282</v>
      </c>
      <c r="B163" s="89"/>
      <c r="C163" s="90"/>
      <c r="D163" s="91"/>
      <c r="E163" s="92"/>
      <c r="F163" s="99"/>
      <c r="G163" s="100"/>
    </row>
    <row r="164" spans="1:7" ht="15">
      <c r="A164" s="94" t="s">
        <v>283</v>
      </c>
      <c r="B164" s="95">
        <v>133</v>
      </c>
      <c r="C164" s="96">
        <f t="shared" ref="C164:C174" si="6">B164/70.4</f>
        <v>1.8892045454545452</v>
      </c>
      <c r="D164" s="97" t="s">
        <v>88</v>
      </c>
      <c r="E164" s="98">
        <v>10</v>
      </c>
      <c r="F164" s="99" t="s">
        <v>284</v>
      </c>
      <c r="G164" s="100" t="s">
        <v>192</v>
      </c>
    </row>
    <row r="165" spans="1:7" ht="15">
      <c r="A165" s="94" t="s">
        <v>285</v>
      </c>
      <c r="B165" s="95">
        <v>140</v>
      </c>
      <c r="C165" s="96">
        <f t="shared" si="6"/>
        <v>1.9886363636363635</v>
      </c>
      <c r="D165" s="97" t="s">
        <v>88</v>
      </c>
      <c r="E165" s="98">
        <v>10</v>
      </c>
      <c r="F165" s="99" t="s">
        <v>284</v>
      </c>
      <c r="G165" s="100" t="s">
        <v>192</v>
      </c>
    </row>
    <row r="166" spans="1:7" ht="15">
      <c r="A166" s="94" t="s">
        <v>286</v>
      </c>
      <c r="B166" s="95">
        <v>126</v>
      </c>
      <c r="C166" s="96">
        <f t="shared" si="6"/>
        <v>1.7897727272727271</v>
      </c>
      <c r="D166" s="97" t="s">
        <v>88</v>
      </c>
      <c r="E166" s="98">
        <v>10</v>
      </c>
      <c r="F166" s="99" t="s">
        <v>284</v>
      </c>
      <c r="G166" s="100" t="s">
        <v>192</v>
      </c>
    </row>
    <row r="167" spans="1:7" ht="15">
      <c r="A167" s="94" t="s">
        <v>287</v>
      </c>
      <c r="B167" s="95">
        <v>149</v>
      </c>
      <c r="C167" s="96">
        <f t="shared" si="6"/>
        <v>2.1164772727272725</v>
      </c>
      <c r="D167" s="97" t="s">
        <v>88</v>
      </c>
      <c r="E167" s="98">
        <v>10</v>
      </c>
      <c r="F167" s="99" t="s">
        <v>284</v>
      </c>
      <c r="G167" s="100" t="s">
        <v>192</v>
      </c>
    </row>
    <row r="168" spans="1:7" ht="15">
      <c r="A168" s="94" t="s">
        <v>288</v>
      </c>
      <c r="B168" s="95">
        <v>146</v>
      </c>
      <c r="C168" s="96">
        <f t="shared" si="6"/>
        <v>2.0738636363636362</v>
      </c>
      <c r="D168" s="97" t="s">
        <v>88</v>
      </c>
      <c r="E168" s="98">
        <v>10</v>
      </c>
      <c r="F168" s="99" t="s">
        <v>284</v>
      </c>
      <c r="G168" s="100" t="s">
        <v>192</v>
      </c>
    </row>
    <row r="169" spans="1:7" ht="15">
      <c r="A169" s="94" t="s">
        <v>289</v>
      </c>
      <c r="B169" s="95">
        <v>160</v>
      </c>
      <c r="C169" s="96">
        <f t="shared" si="6"/>
        <v>2.2727272727272725</v>
      </c>
      <c r="D169" s="97" t="s">
        <v>88</v>
      </c>
      <c r="E169" s="98">
        <v>10</v>
      </c>
      <c r="F169" s="99" t="s">
        <v>284</v>
      </c>
      <c r="G169" s="100" t="s">
        <v>192</v>
      </c>
    </row>
    <row r="170" spans="1:7" ht="15">
      <c r="A170" s="94" t="s">
        <v>290</v>
      </c>
      <c r="B170" s="95">
        <v>115</v>
      </c>
      <c r="C170" s="96">
        <f t="shared" si="6"/>
        <v>1.6335227272727271</v>
      </c>
      <c r="D170" s="97" t="s">
        <v>88</v>
      </c>
      <c r="E170" s="98">
        <v>10</v>
      </c>
      <c r="F170" s="99" t="s">
        <v>284</v>
      </c>
      <c r="G170" s="100" t="s">
        <v>192</v>
      </c>
    </row>
    <row r="171" spans="1:7" ht="15">
      <c r="A171" s="94" t="s">
        <v>291</v>
      </c>
      <c r="B171" s="95">
        <v>126</v>
      </c>
      <c r="C171" s="96">
        <f t="shared" si="6"/>
        <v>1.7897727272727271</v>
      </c>
      <c r="D171" s="97" t="s">
        <v>88</v>
      </c>
      <c r="E171" s="98">
        <v>10</v>
      </c>
      <c r="F171" s="99" t="s">
        <v>284</v>
      </c>
      <c r="G171" s="100" t="s">
        <v>192</v>
      </c>
    </row>
    <row r="172" spans="1:7" ht="15">
      <c r="A172" s="94" t="s">
        <v>292</v>
      </c>
      <c r="B172" s="95">
        <v>123</v>
      </c>
      <c r="C172" s="96">
        <f t="shared" si="6"/>
        <v>1.7471590909090908</v>
      </c>
      <c r="D172" s="97" t="s">
        <v>88</v>
      </c>
      <c r="E172" s="98">
        <v>10</v>
      </c>
      <c r="F172" s="99" t="s">
        <v>284</v>
      </c>
      <c r="G172" s="100" t="s">
        <v>192</v>
      </c>
    </row>
    <row r="173" spans="1:7" ht="15">
      <c r="A173" s="94" t="s">
        <v>293</v>
      </c>
      <c r="B173" s="95">
        <v>161</v>
      </c>
      <c r="C173" s="96">
        <f t="shared" si="6"/>
        <v>2.2869318181818179</v>
      </c>
      <c r="D173" s="97" t="s">
        <v>88</v>
      </c>
      <c r="E173" s="98">
        <v>10</v>
      </c>
      <c r="F173" s="99" t="s">
        <v>284</v>
      </c>
      <c r="G173" s="100" t="s">
        <v>192</v>
      </c>
    </row>
    <row r="174" spans="1:7" ht="15">
      <c r="A174" s="94" t="s">
        <v>294</v>
      </c>
      <c r="B174" s="95">
        <v>118</v>
      </c>
      <c r="C174" s="96">
        <f t="shared" si="6"/>
        <v>1.6761363636363635</v>
      </c>
      <c r="D174" s="97" t="s">
        <v>88</v>
      </c>
      <c r="E174" s="98">
        <v>10</v>
      </c>
      <c r="F174" s="99" t="s">
        <v>284</v>
      </c>
      <c r="G174" s="100" t="s">
        <v>192</v>
      </c>
    </row>
    <row r="175" spans="1:7" ht="15">
      <c r="A175" s="94"/>
      <c r="B175" s="110"/>
      <c r="C175" s="96"/>
      <c r="D175" s="97" t="s">
        <v>88</v>
      </c>
      <c r="E175" s="98"/>
      <c r="F175" s="99"/>
      <c r="G175" s="100"/>
    </row>
    <row r="176" spans="1:7" ht="15">
      <c r="A176" s="94" t="s">
        <v>295</v>
      </c>
      <c r="B176" s="95">
        <v>121</v>
      </c>
      <c r="C176" s="96">
        <f>B176/70.4</f>
        <v>1.7187499999999998</v>
      </c>
      <c r="D176" s="97" t="s">
        <v>88</v>
      </c>
      <c r="E176" s="98">
        <v>10</v>
      </c>
      <c r="F176" s="99" t="s">
        <v>284</v>
      </c>
      <c r="G176" s="100" t="s">
        <v>192</v>
      </c>
    </row>
    <row r="177" spans="1:7" ht="15">
      <c r="A177" s="111"/>
      <c r="B177" s="112"/>
      <c r="C177" s="113"/>
      <c r="D177" s="114"/>
      <c r="E177" s="115"/>
      <c r="F177" s="116"/>
      <c r="G177" s="117"/>
    </row>
    <row r="178" spans="1:7" ht="15">
      <c r="A178" s="111"/>
      <c r="B178" s="112"/>
      <c r="C178" s="113"/>
      <c r="D178" s="114"/>
      <c r="E178" s="115"/>
      <c r="F178" s="116"/>
      <c r="G178" s="117"/>
    </row>
    <row r="179" spans="1:7" ht="15">
      <c r="A179" s="111"/>
      <c r="B179" s="118"/>
      <c r="C179" s="113"/>
      <c r="D179" s="114"/>
      <c r="E179" s="115"/>
      <c r="F179" s="116"/>
      <c r="G179" s="117"/>
    </row>
    <row r="180" spans="1:7" ht="15">
      <c r="A180" s="111"/>
      <c r="B180" s="113"/>
      <c r="C180" s="113"/>
      <c r="D180" s="114"/>
      <c r="E180" s="115"/>
      <c r="F180" s="116"/>
      <c r="G180" s="117"/>
    </row>
    <row r="181" spans="1:7" ht="27.75">
      <c r="A181" s="119" t="s">
        <v>296</v>
      </c>
      <c r="B181" s="89"/>
      <c r="C181" s="90"/>
      <c r="D181" s="103"/>
      <c r="E181" s="104"/>
      <c r="F181" s="99"/>
      <c r="G181" s="100"/>
    </row>
    <row r="182" spans="1:7" ht="20.25">
      <c r="A182" s="88" t="s">
        <v>296</v>
      </c>
      <c r="B182" s="89"/>
      <c r="C182" s="90"/>
      <c r="D182" s="91"/>
      <c r="E182" s="92"/>
      <c r="F182" s="99"/>
      <c r="G182" s="100"/>
    </row>
    <row r="183" spans="1:7" ht="15">
      <c r="A183" s="94" t="s">
        <v>297</v>
      </c>
      <c r="B183" s="95">
        <v>346</v>
      </c>
      <c r="C183" s="96">
        <f>B183/70.4</f>
        <v>4.9147727272727266</v>
      </c>
      <c r="D183" s="97" t="s">
        <v>88</v>
      </c>
      <c r="E183" s="98">
        <v>1</v>
      </c>
      <c r="F183" s="99" t="s">
        <v>298</v>
      </c>
      <c r="G183" s="100" t="s">
        <v>299</v>
      </c>
    </row>
    <row r="184" spans="1:7" ht="15">
      <c r="A184" s="94" t="s">
        <v>300</v>
      </c>
      <c r="B184" s="95">
        <v>132</v>
      </c>
      <c r="C184" s="96">
        <f>B184/70.4</f>
        <v>1.8749999999999998</v>
      </c>
      <c r="D184" s="97" t="s">
        <v>88</v>
      </c>
      <c r="E184" s="98">
        <v>1</v>
      </c>
      <c r="F184" s="99" t="s">
        <v>298</v>
      </c>
      <c r="G184" s="100" t="s">
        <v>299</v>
      </c>
    </row>
    <row r="185" spans="1:7" ht="15">
      <c r="A185" s="94" t="s">
        <v>301</v>
      </c>
      <c r="B185" s="95">
        <v>117</v>
      </c>
      <c r="C185" s="96">
        <f>B185/70.4</f>
        <v>1.6619318181818181</v>
      </c>
      <c r="D185" s="97" t="s">
        <v>88</v>
      </c>
      <c r="E185" s="98">
        <v>1</v>
      </c>
      <c r="F185" s="99" t="s">
        <v>298</v>
      </c>
      <c r="G185" s="100" t="s">
        <v>299</v>
      </c>
    </row>
    <row r="186" spans="1:7" ht="15">
      <c r="A186" s="94" t="s">
        <v>302</v>
      </c>
      <c r="B186" s="95">
        <v>117</v>
      </c>
      <c r="C186" s="96">
        <f>B186/70.4</f>
        <v>1.6619318181818181</v>
      </c>
      <c r="D186" s="97" t="s">
        <v>88</v>
      </c>
      <c r="E186" s="98">
        <v>1</v>
      </c>
      <c r="F186" s="99" t="s">
        <v>298</v>
      </c>
      <c r="G186" s="100" t="s">
        <v>299</v>
      </c>
    </row>
    <row r="187" spans="1:7" ht="15">
      <c r="A187" s="94"/>
      <c r="B187" s="95"/>
      <c r="C187" s="96"/>
      <c r="D187" s="97"/>
      <c r="E187" s="98"/>
      <c r="F187" s="99"/>
      <c r="G187" s="100"/>
    </row>
    <row r="188" spans="1:7" ht="20.25">
      <c r="A188" s="88" t="s">
        <v>303</v>
      </c>
      <c r="B188" s="89"/>
      <c r="C188" s="90"/>
      <c r="D188" s="91"/>
      <c r="E188" s="92"/>
      <c r="F188" s="99"/>
      <c r="G188" s="100"/>
    </row>
    <row r="189" spans="1:7" ht="15">
      <c r="A189" s="94" t="s">
        <v>304</v>
      </c>
      <c r="B189" s="95">
        <v>147</v>
      </c>
      <c r="C189" s="96">
        <f t="shared" ref="C189:C194" si="7">B189/70.4</f>
        <v>2.0880681818181817</v>
      </c>
      <c r="D189" s="97" t="s">
        <v>88</v>
      </c>
      <c r="E189" s="98">
        <v>1</v>
      </c>
      <c r="F189" s="99" t="s">
        <v>298</v>
      </c>
      <c r="G189" s="100" t="s">
        <v>299</v>
      </c>
    </row>
    <row r="190" spans="1:7" ht="15">
      <c r="A190" s="94" t="s">
        <v>305</v>
      </c>
      <c r="B190" s="95">
        <v>252</v>
      </c>
      <c r="C190" s="96">
        <f t="shared" si="7"/>
        <v>3.5795454545454541</v>
      </c>
      <c r="D190" s="97" t="s">
        <v>88</v>
      </c>
      <c r="E190" s="98">
        <v>1</v>
      </c>
      <c r="F190" s="99" t="s">
        <v>298</v>
      </c>
      <c r="G190" s="100" t="s">
        <v>299</v>
      </c>
    </row>
    <row r="191" spans="1:7" ht="15">
      <c r="A191" s="94" t="s">
        <v>306</v>
      </c>
      <c r="B191" s="95">
        <v>252</v>
      </c>
      <c r="C191" s="96">
        <f t="shared" si="7"/>
        <v>3.5795454545454541</v>
      </c>
      <c r="D191" s="97" t="s">
        <v>88</v>
      </c>
      <c r="E191" s="98">
        <v>1</v>
      </c>
      <c r="F191" s="99" t="s">
        <v>298</v>
      </c>
      <c r="G191" s="100" t="s">
        <v>299</v>
      </c>
    </row>
    <row r="192" spans="1:7" ht="15">
      <c r="A192" s="94" t="s">
        <v>307</v>
      </c>
      <c r="B192" s="95">
        <v>297</v>
      </c>
      <c r="C192" s="96">
        <f t="shared" si="7"/>
        <v>4.21875</v>
      </c>
      <c r="D192" s="97" t="s">
        <v>88</v>
      </c>
      <c r="E192" s="98">
        <v>1</v>
      </c>
      <c r="F192" s="99" t="s">
        <v>298</v>
      </c>
      <c r="G192" s="100" t="s">
        <v>299</v>
      </c>
    </row>
    <row r="193" spans="1:7" ht="15">
      <c r="A193" s="94" t="s">
        <v>308</v>
      </c>
      <c r="B193" s="95">
        <v>237</v>
      </c>
      <c r="C193" s="96">
        <f t="shared" si="7"/>
        <v>3.3664772727272725</v>
      </c>
      <c r="D193" s="97" t="s">
        <v>88</v>
      </c>
      <c r="E193" s="98">
        <v>1</v>
      </c>
      <c r="F193" s="99" t="s">
        <v>298</v>
      </c>
      <c r="G193" s="100" t="s">
        <v>299</v>
      </c>
    </row>
    <row r="194" spans="1:7" ht="15">
      <c r="A194" s="94" t="s">
        <v>309</v>
      </c>
      <c r="B194" s="95">
        <v>177</v>
      </c>
      <c r="C194" s="96">
        <f t="shared" si="7"/>
        <v>2.5142045454545454</v>
      </c>
      <c r="D194" s="97" t="s">
        <v>88</v>
      </c>
      <c r="E194" s="98">
        <v>1</v>
      </c>
      <c r="F194" s="99" t="s">
        <v>298</v>
      </c>
      <c r="G194" s="100" t="s">
        <v>299</v>
      </c>
    </row>
    <row r="195" spans="1:7" ht="15">
      <c r="A195" s="94"/>
      <c r="B195" s="95"/>
      <c r="C195" s="96"/>
      <c r="D195" s="97"/>
      <c r="E195" s="98"/>
      <c r="F195" s="99"/>
      <c r="G195" s="100"/>
    </row>
    <row r="196" spans="1:7" ht="20.25">
      <c r="A196" s="88" t="s">
        <v>310</v>
      </c>
      <c r="B196" s="89"/>
      <c r="C196" s="90"/>
      <c r="D196" s="91"/>
      <c r="E196" s="92"/>
      <c r="F196" s="99"/>
      <c r="G196" s="100"/>
    </row>
    <row r="197" spans="1:7" ht="15">
      <c r="A197" s="94" t="s">
        <v>311</v>
      </c>
      <c r="B197" s="95">
        <v>245</v>
      </c>
      <c r="C197" s="96">
        <f>B197/70.4</f>
        <v>3.4801136363636362</v>
      </c>
      <c r="D197" s="97" t="s">
        <v>88</v>
      </c>
      <c r="E197" s="98">
        <v>1</v>
      </c>
      <c r="F197" s="99" t="s">
        <v>312</v>
      </c>
      <c r="G197" s="100" t="s">
        <v>313</v>
      </c>
    </row>
    <row r="198" spans="1:7" ht="15">
      <c r="A198" s="94" t="s">
        <v>314</v>
      </c>
      <c r="B198" s="95">
        <v>245</v>
      </c>
      <c r="C198" s="96">
        <f>B198/70.4</f>
        <v>3.4801136363636362</v>
      </c>
      <c r="D198" s="97" t="s">
        <v>88</v>
      </c>
      <c r="E198" s="98">
        <v>1</v>
      </c>
      <c r="F198" s="99" t="s">
        <v>312</v>
      </c>
      <c r="G198" s="100" t="s">
        <v>313</v>
      </c>
    </row>
    <row r="199" spans="1:7" ht="15">
      <c r="A199" s="94" t="s">
        <v>315</v>
      </c>
      <c r="B199" s="95">
        <v>245</v>
      </c>
      <c r="C199" s="96">
        <f>B199/70.4</f>
        <v>3.4801136363636362</v>
      </c>
      <c r="D199" s="97" t="s">
        <v>88</v>
      </c>
      <c r="E199" s="98">
        <v>1</v>
      </c>
      <c r="F199" s="99" t="s">
        <v>312</v>
      </c>
      <c r="G199" s="100" t="s">
        <v>313</v>
      </c>
    </row>
    <row r="200" spans="1:7" ht="15">
      <c r="A200" s="108"/>
      <c r="B200" s="95"/>
      <c r="C200" s="96"/>
      <c r="D200" s="97"/>
      <c r="E200" s="98"/>
      <c r="F200" s="99"/>
      <c r="G200" s="100"/>
    </row>
    <row r="201" spans="1:7" ht="15">
      <c r="A201" s="108"/>
      <c r="B201" s="95"/>
      <c r="C201" s="96"/>
      <c r="D201" s="97"/>
      <c r="E201" s="98"/>
      <c r="F201" s="99"/>
      <c r="G201" s="100"/>
    </row>
    <row r="202" spans="1:7" ht="27.75">
      <c r="A202" s="119" t="s">
        <v>316</v>
      </c>
      <c r="B202" s="89"/>
      <c r="C202" s="90"/>
      <c r="D202" s="103"/>
      <c r="E202" s="104"/>
      <c r="F202" s="99"/>
      <c r="G202" s="100"/>
    </row>
    <row r="203" spans="1:7" ht="20.25">
      <c r="A203" s="88" t="s">
        <v>317</v>
      </c>
      <c r="B203" s="89"/>
      <c r="C203" s="90"/>
      <c r="D203" s="91"/>
      <c r="E203" s="92"/>
      <c r="F203" s="99"/>
      <c r="G203" s="100"/>
    </row>
    <row r="204" spans="1:7" ht="15">
      <c r="A204" s="94" t="s">
        <v>318</v>
      </c>
      <c r="B204" s="95">
        <v>166</v>
      </c>
      <c r="C204" s="96">
        <f>B204/70.4</f>
        <v>2.3579545454545454</v>
      </c>
      <c r="D204" s="97" t="s">
        <v>88</v>
      </c>
      <c r="E204" s="98">
        <v>1</v>
      </c>
      <c r="F204" s="99" t="s">
        <v>298</v>
      </c>
      <c r="G204" s="100" t="s">
        <v>319</v>
      </c>
    </row>
    <row r="205" spans="1:7" ht="15">
      <c r="A205" s="94" t="s">
        <v>320</v>
      </c>
      <c r="B205" s="95">
        <v>208</v>
      </c>
      <c r="C205" s="96">
        <f>B205/70.4</f>
        <v>2.9545454545454541</v>
      </c>
      <c r="D205" s="97" t="s">
        <v>88</v>
      </c>
      <c r="E205" s="98">
        <v>1</v>
      </c>
      <c r="F205" s="99" t="s">
        <v>298</v>
      </c>
      <c r="G205" s="100" t="s">
        <v>319</v>
      </c>
    </row>
    <row r="206" spans="1:7" ht="15">
      <c r="A206" s="94" t="s">
        <v>321</v>
      </c>
      <c r="B206" s="95">
        <v>208</v>
      </c>
      <c r="C206" s="96">
        <f>B206/70.4</f>
        <v>2.9545454545454541</v>
      </c>
      <c r="D206" s="97" t="s">
        <v>88</v>
      </c>
      <c r="E206" s="98">
        <v>1</v>
      </c>
      <c r="F206" s="99" t="s">
        <v>298</v>
      </c>
      <c r="G206" s="100" t="s">
        <v>319</v>
      </c>
    </row>
    <row r="207" spans="1:7" ht="15">
      <c r="A207" s="94"/>
      <c r="B207" s="95"/>
      <c r="C207" s="96"/>
      <c r="D207" s="97"/>
      <c r="E207" s="98"/>
      <c r="F207" s="99"/>
      <c r="G207" s="100"/>
    </row>
    <row r="208" spans="1:7" ht="20.25">
      <c r="A208" s="88" t="s">
        <v>322</v>
      </c>
      <c r="B208" s="89"/>
      <c r="C208" s="90"/>
      <c r="D208" s="91"/>
      <c r="E208" s="92"/>
      <c r="F208" s="99"/>
      <c r="G208" s="100"/>
    </row>
    <row r="209" spans="1:7" ht="15">
      <c r="A209" s="94" t="s">
        <v>323</v>
      </c>
      <c r="B209" s="95">
        <v>208</v>
      </c>
      <c r="C209" s="96">
        <f>B209/70.4</f>
        <v>2.9545454545454541</v>
      </c>
      <c r="D209" s="97" t="s">
        <v>88</v>
      </c>
      <c r="E209" s="98">
        <v>1</v>
      </c>
      <c r="F209" s="99" t="s">
        <v>298</v>
      </c>
      <c r="G209" s="100" t="s">
        <v>299</v>
      </c>
    </row>
    <row r="210" spans="1:7" ht="15">
      <c r="A210" s="94" t="s">
        <v>324</v>
      </c>
      <c r="B210" s="95">
        <v>208</v>
      </c>
      <c r="C210" s="96">
        <f>B210/70.4</f>
        <v>2.9545454545454541</v>
      </c>
      <c r="D210" s="97" t="s">
        <v>88</v>
      </c>
      <c r="E210" s="98">
        <v>1</v>
      </c>
      <c r="F210" s="99" t="s">
        <v>298</v>
      </c>
      <c r="G210" s="100" t="s">
        <v>299</v>
      </c>
    </row>
    <row r="211" spans="1:7" ht="15">
      <c r="A211" s="94" t="s">
        <v>325</v>
      </c>
      <c r="B211" s="95">
        <v>208</v>
      </c>
      <c r="C211" s="96">
        <f>B211/70.4</f>
        <v>2.9545454545454541</v>
      </c>
      <c r="D211" s="97" t="s">
        <v>88</v>
      </c>
      <c r="E211" s="98">
        <v>1</v>
      </c>
      <c r="F211" s="99" t="s">
        <v>298</v>
      </c>
      <c r="G211" s="100" t="s">
        <v>299</v>
      </c>
    </row>
    <row r="212" spans="1:7" ht="15">
      <c r="A212" s="94" t="s">
        <v>326</v>
      </c>
      <c r="B212" s="95">
        <v>208</v>
      </c>
      <c r="C212" s="96">
        <f>B212/70.4</f>
        <v>2.9545454545454541</v>
      </c>
      <c r="D212" s="97" t="s">
        <v>88</v>
      </c>
      <c r="E212" s="98">
        <v>1</v>
      </c>
      <c r="F212" s="99" t="s">
        <v>298</v>
      </c>
      <c r="G212" s="100" t="s">
        <v>299</v>
      </c>
    </row>
    <row r="213" spans="1:7" ht="15">
      <c r="A213" s="94"/>
      <c r="B213" s="95"/>
      <c r="C213" s="96"/>
      <c r="D213" s="97"/>
      <c r="E213" s="98"/>
      <c r="F213" s="99"/>
      <c r="G213" s="100"/>
    </row>
    <row r="214" spans="1:7" ht="20.25">
      <c r="A214" s="88" t="s">
        <v>327</v>
      </c>
      <c r="B214" s="89"/>
      <c r="C214" s="90"/>
      <c r="D214" s="91"/>
      <c r="E214" s="92"/>
      <c r="F214" s="99"/>
      <c r="G214" s="100"/>
    </row>
    <row r="215" spans="1:7" ht="15">
      <c r="A215" s="94" t="s">
        <v>328</v>
      </c>
      <c r="B215" s="95">
        <v>166</v>
      </c>
      <c r="C215" s="96">
        <f t="shared" ref="C215:C221" si="8">B215/70.4</f>
        <v>2.3579545454545454</v>
      </c>
      <c r="D215" s="97" t="s">
        <v>88</v>
      </c>
      <c r="E215" s="98">
        <v>1</v>
      </c>
      <c r="F215" s="99" t="s">
        <v>298</v>
      </c>
      <c r="G215" s="100" t="s">
        <v>299</v>
      </c>
    </row>
    <row r="216" spans="1:7" ht="15">
      <c r="A216" s="94" t="s">
        <v>329</v>
      </c>
      <c r="B216" s="95">
        <v>166</v>
      </c>
      <c r="C216" s="96">
        <f t="shared" si="8"/>
        <v>2.3579545454545454</v>
      </c>
      <c r="D216" s="97" t="s">
        <v>88</v>
      </c>
      <c r="E216" s="98">
        <v>1</v>
      </c>
      <c r="F216" s="99" t="s">
        <v>298</v>
      </c>
      <c r="G216" s="100" t="s">
        <v>299</v>
      </c>
    </row>
    <row r="217" spans="1:7" ht="15">
      <c r="A217" s="94" t="s">
        <v>330</v>
      </c>
      <c r="B217" s="95">
        <v>159</v>
      </c>
      <c r="C217" s="96">
        <f t="shared" si="8"/>
        <v>2.2585227272727271</v>
      </c>
      <c r="D217" s="97" t="s">
        <v>88</v>
      </c>
      <c r="E217" s="98">
        <v>1</v>
      </c>
      <c r="F217" s="99" t="s">
        <v>298</v>
      </c>
      <c r="G217" s="100" t="s">
        <v>299</v>
      </c>
    </row>
    <row r="218" spans="1:7" ht="15">
      <c r="A218" s="94" t="s">
        <v>331</v>
      </c>
      <c r="B218" s="95">
        <v>159</v>
      </c>
      <c r="C218" s="96">
        <f t="shared" si="8"/>
        <v>2.2585227272727271</v>
      </c>
      <c r="D218" s="97" t="s">
        <v>88</v>
      </c>
      <c r="E218" s="98">
        <v>1</v>
      </c>
      <c r="F218" s="99" t="s">
        <v>298</v>
      </c>
      <c r="G218" s="100" t="s">
        <v>299</v>
      </c>
    </row>
    <row r="219" spans="1:7" ht="15">
      <c r="A219" s="94" t="s">
        <v>332</v>
      </c>
      <c r="B219" s="95">
        <v>166</v>
      </c>
      <c r="C219" s="96">
        <f t="shared" si="8"/>
        <v>2.3579545454545454</v>
      </c>
      <c r="D219" s="97" t="s">
        <v>88</v>
      </c>
      <c r="E219" s="98">
        <v>1</v>
      </c>
      <c r="F219" s="99" t="s">
        <v>298</v>
      </c>
      <c r="G219" s="100" t="s">
        <v>299</v>
      </c>
    </row>
    <row r="220" spans="1:7" ht="15">
      <c r="A220" s="94" t="s">
        <v>333</v>
      </c>
      <c r="B220" s="95">
        <v>159</v>
      </c>
      <c r="C220" s="96">
        <f t="shared" si="8"/>
        <v>2.2585227272727271</v>
      </c>
      <c r="D220" s="97" t="s">
        <v>88</v>
      </c>
      <c r="E220" s="98">
        <v>1</v>
      </c>
      <c r="F220" s="99" t="s">
        <v>298</v>
      </c>
      <c r="G220" s="100" t="s">
        <v>299</v>
      </c>
    </row>
    <row r="221" spans="1:7" ht="15">
      <c r="A221" s="94" t="s">
        <v>334</v>
      </c>
      <c r="B221" s="95">
        <v>159</v>
      </c>
      <c r="C221" s="96">
        <f t="shared" si="8"/>
        <v>2.2585227272727271</v>
      </c>
      <c r="D221" s="97" t="s">
        <v>88</v>
      </c>
      <c r="E221" s="98">
        <v>1</v>
      </c>
      <c r="F221" s="99" t="s">
        <v>298</v>
      </c>
      <c r="G221" s="100" t="s">
        <v>299</v>
      </c>
    </row>
    <row r="222" spans="1:7" ht="15">
      <c r="A222" s="94"/>
      <c r="B222" s="95"/>
      <c r="C222" s="96"/>
      <c r="D222" s="97"/>
      <c r="E222" s="98"/>
      <c r="F222" s="99"/>
      <c r="G222" s="100"/>
    </row>
    <row r="223" spans="1:7" ht="15">
      <c r="A223" s="94"/>
      <c r="B223" s="95"/>
      <c r="C223" s="96"/>
      <c r="D223" s="97"/>
      <c r="E223" s="98"/>
      <c r="F223" s="99"/>
      <c r="G223" s="100"/>
    </row>
    <row r="224" spans="1:7" ht="27.75">
      <c r="A224" s="119" t="s">
        <v>335</v>
      </c>
      <c r="B224" s="89"/>
      <c r="C224" s="90"/>
      <c r="D224" s="103"/>
      <c r="E224" s="104"/>
      <c r="F224" s="99"/>
      <c r="G224" s="100"/>
    </row>
    <row r="225" spans="1:7" ht="27.75">
      <c r="A225" s="119" t="s">
        <v>336</v>
      </c>
      <c r="B225" s="89"/>
      <c r="C225" s="90"/>
      <c r="D225" s="91"/>
      <c r="E225" s="92"/>
      <c r="F225" s="99"/>
      <c r="G225" s="100"/>
    </row>
    <row r="226" spans="1:7" ht="15">
      <c r="A226" s="94" t="s">
        <v>337</v>
      </c>
      <c r="B226" s="95">
        <v>246</v>
      </c>
      <c r="C226" s="96">
        <f t="shared" ref="C226:C236" si="9">B226/70.4</f>
        <v>3.4943181818181817</v>
      </c>
      <c r="D226" s="97" t="s">
        <v>88</v>
      </c>
      <c r="E226" s="98">
        <v>12</v>
      </c>
      <c r="F226" s="99" t="s">
        <v>338</v>
      </c>
      <c r="G226" s="100" t="s">
        <v>319</v>
      </c>
    </row>
    <row r="227" spans="1:7" ht="15">
      <c r="A227" s="94" t="s">
        <v>339</v>
      </c>
      <c r="B227" s="95">
        <v>281</v>
      </c>
      <c r="C227" s="96">
        <f t="shared" si="9"/>
        <v>3.9914772727272725</v>
      </c>
      <c r="D227" s="97" t="s">
        <v>88</v>
      </c>
      <c r="E227" s="98">
        <v>12</v>
      </c>
      <c r="F227" s="99" t="s">
        <v>338</v>
      </c>
      <c r="G227" s="100" t="s">
        <v>319</v>
      </c>
    </row>
    <row r="228" spans="1:7" ht="15">
      <c r="A228" s="94" t="s">
        <v>340</v>
      </c>
      <c r="B228" s="95">
        <v>268</v>
      </c>
      <c r="C228" s="96">
        <f t="shared" si="9"/>
        <v>3.8068181818181817</v>
      </c>
      <c r="D228" s="97" t="s">
        <v>88</v>
      </c>
      <c r="E228" s="98">
        <v>12</v>
      </c>
      <c r="F228" s="99" t="s">
        <v>338</v>
      </c>
      <c r="G228" s="100" t="s">
        <v>341</v>
      </c>
    </row>
    <row r="229" spans="1:7" ht="15">
      <c r="A229" s="94" t="s">
        <v>342</v>
      </c>
      <c r="B229" s="95">
        <v>232</v>
      </c>
      <c r="C229" s="96">
        <f t="shared" si="9"/>
        <v>3.295454545454545</v>
      </c>
      <c r="D229" s="97" t="s">
        <v>88</v>
      </c>
      <c r="E229" s="98">
        <v>12</v>
      </c>
      <c r="F229" s="99" t="s">
        <v>338</v>
      </c>
      <c r="G229" s="100" t="s">
        <v>341</v>
      </c>
    </row>
    <row r="230" spans="1:7" ht="15">
      <c r="A230" s="94" t="s">
        <v>343</v>
      </c>
      <c r="B230" s="95">
        <v>232</v>
      </c>
      <c r="C230" s="96">
        <f t="shared" si="9"/>
        <v>3.295454545454545</v>
      </c>
      <c r="D230" s="97" t="s">
        <v>88</v>
      </c>
      <c r="E230" s="98">
        <v>12</v>
      </c>
      <c r="F230" s="99" t="s">
        <v>338</v>
      </c>
      <c r="G230" s="100" t="s">
        <v>341</v>
      </c>
    </row>
    <row r="231" spans="1:7" ht="15">
      <c r="A231" s="94" t="s">
        <v>344</v>
      </c>
      <c r="B231" s="95">
        <v>164</v>
      </c>
      <c r="C231" s="96">
        <f t="shared" si="9"/>
        <v>2.3295454545454541</v>
      </c>
      <c r="D231" s="97" t="s">
        <v>88</v>
      </c>
      <c r="E231" s="98">
        <v>12</v>
      </c>
      <c r="F231" s="99" t="s">
        <v>338</v>
      </c>
      <c r="G231" s="100" t="s">
        <v>319</v>
      </c>
    </row>
    <row r="232" spans="1:7" ht="15">
      <c r="A232" s="94" t="s">
        <v>345</v>
      </c>
      <c r="B232" s="95">
        <v>164</v>
      </c>
      <c r="C232" s="96">
        <f t="shared" si="9"/>
        <v>2.3295454545454541</v>
      </c>
      <c r="D232" s="97" t="s">
        <v>88</v>
      </c>
      <c r="E232" s="98">
        <v>12</v>
      </c>
      <c r="F232" s="99" t="s">
        <v>338</v>
      </c>
      <c r="G232" s="100" t="s">
        <v>319</v>
      </c>
    </row>
    <row r="233" spans="1:7" ht="15">
      <c r="A233" s="94" t="s">
        <v>346</v>
      </c>
      <c r="B233" s="95">
        <v>164</v>
      </c>
      <c r="C233" s="96">
        <f t="shared" si="9"/>
        <v>2.3295454545454541</v>
      </c>
      <c r="D233" s="97" t="s">
        <v>88</v>
      </c>
      <c r="E233" s="98">
        <v>12</v>
      </c>
      <c r="F233" s="99" t="s">
        <v>338</v>
      </c>
      <c r="G233" s="100" t="s">
        <v>319</v>
      </c>
    </row>
    <row r="234" spans="1:7" ht="15">
      <c r="A234" s="94" t="s">
        <v>347</v>
      </c>
      <c r="B234" s="95">
        <v>164</v>
      </c>
      <c r="C234" s="96">
        <f t="shared" si="9"/>
        <v>2.3295454545454541</v>
      </c>
      <c r="D234" s="97" t="s">
        <v>88</v>
      </c>
      <c r="E234" s="98">
        <v>12</v>
      </c>
      <c r="F234" s="99" t="s">
        <v>338</v>
      </c>
      <c r="G234" s="100" t="s">
        <v>319</v>
      </c>
    </row>
    <row r="235" spans="1:7" ht="15">
      <c r="A235" s="94" t="s">
        <v>348</v>
      </c>
      <c r="B235" s="95">
        <v>164</v>
      </c>
      <c r="C235" s="96">
        <f t="shared" si="9"/>
        <v>2.3295454545454541</v>
      </c>
      <c r="D235" s="97" t="s">
        <v>88</v>
      </c>
      <c r="E235" s="98">
        <v>12</v>
      </c>
      <c r="F235" s="99" t="s">
        <v>338</v>
      </c>
      <c r="G235" s="100" t="s">
        <v>319</v>
      </c>
    </row>
    <row r="236" spans="1:7" ht="15">
      <c r="A236" s="94" t="s">
        <v>349</v>
      </c>
      <c r="B236" s="95">
        <v>164</v>
      </c>
      <c r="C236" s="96">
        <f t="shared" si="9"/>
        <v>2.3295454545454541</v>
      </c>
      <c r="D236" s="97" t="s">
        <v>88</v>
      </c>
      <c r="E236" s="98">
        <v>12</v>
      </c>
      <c r="F236" s="99" t="s">
        <v>338</v>
      </c>
      <c r="G236" s="100" t="s">
        <v>319</v>
      </c>
    </row>
    <row r="237" spans="1:7" ht="15">
      <c r="A237" s="94"/>
      <c r="B237" s="95"/>
      <c r="C237" s="96"/>
      <c r="D237" s="97"/>
      <c r="E237" s="98"/>
      <c r="F237" s="99"/>
      <c r="G237" s="100"/>
    </row>
    <row r="238" spans="1:7" ht="15">
      <c r="A238" s="94"/>
      <c r="B238" s="95"/>
      <c r="C238" s="96"/>
      <c r="D238" s="97"/>
      <c r="E238" s="98"/>
      <c r="F238" s="99"/>
      <c r="G238" s="100"/>
    </row>
    <row r="239" spans="1:7" ht="27.75">
      <c r="A239" s="119" t="s">
        <v>350</v>
      </c>
      <c r="B239" s="89"/>
      <c r="C239" s="90"/>
      <c r="D239" s="103"/>
      <c r="E239" s="104"/>
      <c r="F239" s="99"/>
      <c r="G239" s="100"/>
    </row>
    <row r="240" spans="1:7" ht="20.25">
      <c r="A240" s="88" t="s">
        <v>351</v>
      </c>
      <c r="B240" s="89"/>
      <c r="C240" s="90"/>
      <c r="D240" s="91"/>
      <c r="E240" s="92"/>
      <c r="F240" s="99"/>
      <c r="G240" s="100"/>
    </row>
    <row r="241" spans="1:7" ht="15">
      <c r="A241" s="94" t="s">
        <v>352</v>
      </c>
      <c r="B241" s="95">
        <v>126</v>
      </c>
      <c r="C241" s="96">
        <f>B241/70.4</f>
        <v>1.7897727272727271</v>
      </c>
      <c r="D241" s="101" t="s">
        <v>353</v>
      </c>
      <c r="E241" s="98">
        <v>1</v>
      </c>
      <c r="F241" s="99" t="s">
        <v>338</v>
      </c>
      <c r="G241" s="100" t="s">
        <v>319</v>
      </c>
    </row>
    <row r="242" spans="1:7" ht="15">
      <c r="A242" s="94" t="s">
        <v>354</v>
      </c>
      <c r="B242" s="95">
        <v>154</v>
      </c>
      <c r="C242" s="96">
        <f>B242/70.4</f>
        <v>2.1875</v>
      </c>
      <c r="D242" s="97" t="s">
        <v>88</v>
      </c>
      <c r="E242" s="98">
        <v>1</v>
      </c>
      <c r="F242" s="99" t="s">
        <v>338</v>
      </c>
      <c r="G242" s="100" t="s">
        <v>319</v>
      </c>
    </row>
    <row r="243" spans="1:7" ht="15">
      <c r="A243" s="94" t="s">
        <v>355</v>
      </c>
      <c r="B243" s="95">
        <v>154</v>
      </c>
      <c r="C243" s="96">
        <f>B243/70.4</f>
        <v>2.1875</v>
      </c>
      <c r="D243" s="97" t="s">
        <v>88</v>
      </c>
      <c r="E243" s="98">
        <v>1</v>
      </c>
      <c r="F243" s="99" t="s">
        <v>338</v>
      </c>
      <c r="G243" s="100" t="s">
        <v>319</v>
      </c>
    </row>
    <row r="244" spans="1:7" ht="15">
      <c r="A244" s="94" t="s">
        <v>356</v>
      </c>
      <c r="B244" s="95">
        <v>154</v>
      </c>
      <c r="C244" s="96">
        <f>B244/70.4</f>
        <v>2.1875</v>
      </c>
      <c r="D244" s="97" t="s">
        <v>88</v>
      </c>
      <c r="E244" s="98">
        <v>1</v>
      </c>
      <c r="F244" s="99" t="s">
        <v>338</v>
      </c>
      <c r="G244" s="100" t="s">
        <v>319</v>
      </c>
    </row>
    <row r="245" spans="1:7" ht="15">
      <c r="A245" s="94"/>
      <c r="B245" s="95"/>
      <c r="C245" s="96"/>
      <c r="D245" s="97"/>
      <c r="E245" s="98"/>
      <c r="F245" s="99"/>
      <c r="G245" s="100"/>
    </row>
    <row r="246" spans="1:7" ht="20.25">
      <c r="A246" s="88" t="s">
        <v>357</v>
      </c>
      <c r="B246" s="89"/>
      <c r="C246" s="90"/>
      <c r="D246" s="91"/>
      <c r="E246" s="92"/>
      <c r="F246" s="99"/>
      <c r="G246" s="100"/>
    </row>
    <row r="247" spans="1:7" ht="15">
      <c r="A247" s="94" t="s">
        <v>358</v>
      </c>
      <c r="B247" s="95">
        <v>154</v>
      </c>
      <c r="C247" s="96">
        <f>B247/70.4</f>
        <v>2.1875</v>
      </c>
      <c r="D247" s="101" t="s">
        <v>353</v>
      </c>
      <c r="E247" s="98">
        <v>1</v>
      </c>
      <c r="F247" s="99" t="s">
        <v>338</v>
      </c>
      <c r="G247" s="100" t="s">
        <v>319</v>
      </c>
    </row>
    <row r="248" spans="1:7" ht="15">
      <c r="A248" s="94"/>
      <c r="B248" s="95"/>
      <c r="C248" s="96"/>
      <c r="D248" s="97"/>
      <c r="E248" s="98"/>
      <c r="F248" s="99"/>
      <c r="G248" s="100"/>
    </row>
    <row r="249" spans="1:7" ht="15">
      <c r="A249" s="94"/>
      <c r="B249" s="95"/>
      <c r="C249" s="96"/>
      <c r="D249" s="97"/>
      <c r="E249" s="98"/>
      <c r="F249" s="99"/>
      <c r="G249" s="100"/>
    </row>
    <row r="250" spans="1:7" ht="27.75">
      <c r="A250" s="119" t="s">
        <v>359</v>
      </c>
      <c r="B250" s="89"/>
      <c r="C250" s="90"/>
      <c r="D250" s="103"/>
      <c r="E250" s="104"/>
      <c r="F250" s="99"/>
      <c r="G250" s="100"/>
    </row>
    <row r="251" spans="1:7" ht="20.25">
      <c r="A251" s="88" t="s">
        <v>360</v>
      </c>
      <c r="B251" s="89"/>
      <c r="C251" s="90"/>
      <c r="D251" s="91"/>
      <c r="E251" s="92"/>
      <c r="F251" s="99"/>
      <c r="G251" s="100"/>
    </row>
    <row r="252" spans="1:7" ht="15">
      <c r="A252" s="94" t="s">
        <v>361</v>
      </c>
      <c r="B252" s="95">
        <v>25</v>
      </c>
      <c r="C252" s="96">
        <f>B252/70.4</f>
        <v>0.35511363636363635</v>
      </c>
      <c r="D252" s="97" t="s">
        <v>88</v>
      </c>
      <c r="E252" s="98">
        <v>12</v>
      </c>
      <c r="F252" s="99" t="s">
        <v>231</v>
      </c>
      <c r="G252" s="100" t="s">
        <v>362</v>
      </c>
    </row>
    <row r="253" spans="1:7" ht="15">
      <c r="A253" s="94" t="s">
        <v>363</v>
      </c>
      <c r="B253" s="95">
        <v>28</v>
      </c>
      <c r="C253" s="96">
        <f>B253/70.4</f>
        <v>0.39772727272727271</v>
      </c>
      <c r="D253" s="97" t="s">
        <v>88</v>
      </c>
      <c r="E253" s="98">
        <v>12</v>
      </c>
      <c r="F253" s="99" t="s">
        <v>231</v>
      </c>
      <c r="G253" s="100" t="s">
        <v>362</v>
      </c>
    </row>
    <row r="254" spans="1:7" ht="15">
      <c r="A254" s="94" t="s">
        <v>364</v>
      </c>
      <c r="B254" s="95">
        <v>35</v>
      </c>
      <c r="C254" s="96">
        <f>B254/70.4</f>
        <v>0.49715909090909088</v>
      </c>
      <c r="D254" s="97" t="s">
        <v>88</v>
      </c>
      <c r="E254" s="98">
        <v>12</v>
      </c>
      <c r="F254" s="99" t="s">
        <v>231</v>
      </c>
      <c r="G254" s="100" t="s">
        <v>362</v>
      </c>
    </row>
    <row r="255" spans="1:7" ht="15">
      <c r="A255" s="94" t="s">
        <v>365</v>
      </c>
      <c r="B255" s="95">
        <v>28</v>
      </c>
      <c r="C255" s="96">
        <f>B255/70.4</f>
        <v>0.39772727272727271</v>
      </c>
      <c r="D255" s="97" t="s">
        <v>88</v>
      </c>
      <c r="E255" s="98">
        <v>12</v>
      </c>
      <c r="F255" s="99" t="s">
        <v>366</v>
      </c>
      <c r="G255" s="100" t="s">
        <v>362</v>
      </c>
    </row>
    <row r="256" spans="1:7" ht="15">
      <c r="A256" s="94" t="s">
        <v>367</v>
      </c>
      <c r="B256" s="95">
        <v>35</v>
      </c>
      <c r="C256" s="96">
        <f>B256/70.4</f>
        <v>0.49715909090909088</v>
      </c>
      <c r="D256" s="97" t="s">
        <v>88</v>
      </c>
      <c r="E256" s="98">
        <v>12</v>
      </c>
      <c r="F256" s="99" t="s">
        <v>366</v>
      </c>
      <c r="G256" s="100" t="s">
        <v>362</v>
      </c>
    </row>
    <row r="257" spans="1:7" ht="15">
      <c r="A257" s="94"/>
      <c r="B257" s="95"/>
      <c r="C257" s="96"/>
      <c r="D257" s="97"/>
      <c r="E257" s="98"/>
      <c r="F257" s="99"/>
      <c r="G257" s="100"/>
    </row>
    <row r="258" spans="1:7" ht="15">
      <c r="A258" s="94"/>
      <c r="B258" s="95"/>
      <c r="C258" s="96"/>
      <c r="D258" s="97"/>
      <c r="E258" s="98"/>
      <c r="F258" s="99"/>
      <c r="G258" s="100"/>
    </row>
    <row r="259" spans="1:7" ht="20.25">
      <c r="A259" s="88" t="s">
        <v>368</v>
      </c>
      <c r="B259" s="89"/>
      <c r="C259" s="90"/>
      <c r="D259" s="91"/>
      <c r="E259" s="92"/>
      <c r="F259" s="99"/>
      <c r="G259" s="100"/>
    </row>
    <row r="260" spans="1:7" ht="15">
      <c r="A260" s="94" t="s">
        <v>369</v>
      </c>
      <c r="B260" s="95">
        <v>231</v>
      </c>
      <c r="C260" s="96">
        <f>B260/70.4</f>
        <v>3.2812499999999996</v>
      </c>
      <c r="D260" s="97" t="s">
        <v>88</v>
      </c>
      <c r="E260" s="98">
        <v>12</v>
      </c>
      <c r="F260" s="99" t="s">
        <v>366</v>
      </c>
      <c r="G260" s="100" t="s">
        <v>370</v>
      </c>
    </row>
    <row r="261" spans="1:7" ht="15">
      <c r="A261" s="94" t="s">
        <v>371</v>
      </c>
      <c r="B261" s="95">
        <v>842</v>
      </c>
      <c r="C261" s="96">
        <f>B261/70.4</f>
        <v>11.960227272727272</v>
      </c>
      <c r="D261" s="97" t="s">
        <v>88</v>
      </c>
      <c r="E261" s="98">
        <v>12</v>
      </c>
      <c r="F261" s="99" t="s">
        <v>366</v>
      </c>
      <c r="G261" s="100" t="s">
        <v>370</v>
      </c>
    </row>
    <row r="262" spans="1:7" ht="15">
      <c r="A262" s="94" t="s">
        <v>372</v>
      </c>
      <c r="B262" s="95">
        <v>231</v>
      </c>
      <c r="C262" s="96">
        <f>B262/70.4</f>
        <v>3.2812499999999996</v>
      </c>
      <c r="D262" s="97" t="s">
        <v>88</v>
      </c>
      <c r="E262" s="98">
        <v>12</v>
      </c>
      <c r="F262" s="99" t="s">
        <v>366</v>
      </c>
      <c r="G262" s="100" t="s">
        <v>370</v>
      </c>
    </row>
    <row r="263" spans="1:7" ht="15">
      <c r="A263" s="94" t="s">
        <v>373</v>
      </c>
      <c r="B263" s="95">
        <v>842</v>
      </c>
      <c r="C263" s="96">
        <f>B263/70.4</f>
        <v>11.960227272727272</v>
      </c>
      <c r="D263" s="97" t="s">
        <v>88</v>
      </c>
      <c r="E263" s="98">
        <v>12</v>
      </c>
      <c r="F263" s="99" t="s">
        <v>366</v>
      </c>
      <c r="G263" s="100" t="s">
        <v>370</v>
      </c>
    </row>
    <row r="264" spans="1:7" ht="15">
      <c r="A264" s="94"/>
      <c r="B264" s="95"/>
      <c r="C264" s="96"/>
      <c r="D264" s="97"/>
      <c r="E264" s="98"/>
      <c r="F264" s="99"/>
      <c r="G264" s="100"/>
    </row>
    <row r="265" spans="1:7" ht="20.25">
      <c r="A265" s="88" t="s">
        <v>374</v>
      </c>
      <c r="B265" s="89"/>
      <c r="C265" s="90"/>
      <c r="D265" s="91"/>
      <c r="E265" s="92"/>
      <c r="F265" s="99"/>
      <c r="G265" s="100"/>
    </row>
    <row r="266" spans="1:7" ht="15">
      <c r="A266" s="94" t="s">
        <v>375</v>
      </c>
      <c r="B266" s="95">
        <v>132</v>
      </c>
      <c r="C266" s="96">
        <f>B266/70.4</f>
        <v>1.8749999999999998</v>
      </c>
      <c r="D266" s="97" t="s">
        <v>88</v>
      </c>
      <c r="E266" s="98">
        <v>12</v>
      </c>
      <c r="F266" s="99" t="s">
        <v>338</v>
      </c>
      <c r="G266" s="100" t="s">
        <v>319</v>
      </c>
    </row>
    <row r="267" spans="1:7" ht="15">
      <c r="A267" s="94" t="s">
        <v>375</v>
      </c>
      <c r="B267" s="95">
        <v>132</v>
      </c>
      <c r="C267" s="96">
        <f>B267/70.4</f>
        <v>1.8749999999999998</v>
      </c>
      <c r="D267" s="97" t="s">
        <v>88</v>
      </c>
      <c r="E267" s="98">
        <v>12</v>
      </c>
      <c r="F267" s="99" t="s">
        <v>338</v>
      </c>
      <c r="G267" s="100" t="s">
        <v>319</v>
      </c>
    </row>
    <row r="268" spans="1:7" ht="15">
      <c r="A268" s="94" t="s">
        <v>376</v>
      </c>
      <c r="B268" s="95">
        <v>132</v>
      </c>
      <c r="C268" s="96">
        <f>B268/70.4</f>
        <v>1.8749999999999998</v>
      </c>
      <c r="D268" s="97" t="s">
        <v>88</v>
      </c>
      <c r="E268" s="98">
        <v>12</v>
      </c>
      <c r="F268" s="99" t="s">
        <v>338</v>
      </c>
      <c r="G268" s="100" t="s">
        <v>319</v>
      </c>
    </row>
    <row r="269" spans="1:7" ht="15">
      <c r="A269" s="94"/>
      <c r="B269" s="95"/>
      <c r="C269" s="96"/>
      <c r="D269" s="97"/>
      <c r="E269" s="98"/>
      <c r="F269" s="99"/>
      <c r="G269" s="100"/>
    </row>
    <row r="270" spans="1:7" ht="20.25">
      <c r="A270" s="88" t="s">
        <v>377</v>
      </c>
      <c r="B270" s="89"/>
      <c r="C270" s="90"/>
      <c r="D270" s="91"/>
      <c r="E270" s="92"/>
      <c r="F270" s="99"/>
      <c r="G270" s="100"/>
    </row>
    <row r="271" spans="1:7" ht="15">
      <c r="A271" s="94" t="s">
        <v>378</v>
      </c>
      <c r="B271" s="95">
        <v>202</v>
      </c>
      <c r="C271" s="96">
        <f t="shared" ref="C271:C278" si="10">B271/70.4</f>
        <v>2.8693181818181817</v>
      </c>
      <c r="D271" s="97" t="s">
        <v>88</v>
      </c>
      <c r="E271" s="98">
        <v>12</v>
      </c>
      <c r="F271" s="99" t="s">
        <v>338</v>
      </c>
      <c r="G271" s="100" t="s">
        <v>319</v>
      </c>
    </row>
    <row r="272" spans="1:7" ht="15">
      <c r="A272" s="94" t="s">
        <v>379</v>
      </c>
      <c r="B272" s="95">
        <v>176</v>
      </c>
      <c r="C272" s="96">
        <f t="shared" si="10"/>
        <v>2.5</v>
      </c>
      <c r="D272" s="97" t="s">
        <v>88</v>
      </c>
      <c r="E272" s="98">
        <v>12</v>
      </c>
      <c r="F272" s="99" t="s">
        <v>338</v>
      </c>
      <c r="G272" s="100" t="s">
        <v>319</v>
      </c>
    </row>
    <row r="273" spans="1:7" ht="15">
      <c r="A273" s="94" t="s">
        <v>380</v>
      </c>
      <c r="B273" s="95">
        <v>202</v>
      </c>
      <c r="C273" s="96">
        <f t="shared" si="10"/>
        <v>2.8693181818181817</v>
      </c>
      <c r="D273" s="97" t="s">
        <v>88</v>
      </c>
      <c r="E273" s="98">
        <v>12</v>
      </c>
      <c r="F273" s="99" t="s">
        <v>338</v>
      </c>
      <c r="G273" s="100" t="s">
        <v>319</v>
      </c>
    </row>
    <row r="274" spans="1:7" ht="15">
      <c r="A274" s="94" t="s">
        <v>378</v>
      </c>
      <c r="B274" s="95">
        <v>202</v>
      </c>
      <c r="C274" s="96">
        <f t="shared" si="10"/>
        <v>2.8693181818181817</v>
      </c>
      <c r="D274" s="97" t="s">
        <v>88</v>
      </c>
      <c r="E274" s="98">
        <v>12</v>
      </c>
      <c r="F274" s="99" t="s">
        <v>338</v>
      </c>
      <c r="G274" s="100" t="s">
        <v>319</v>
      </c>
    </row>
    <row r="275" spans="1:7" ht="15">
      <c r="A275" s="94" t="s">
        <v>381</v>
      </c>
      <c r="B275" s="95">
        <v>202</v>
      </c>
      <c r="C275" s="96">
        <f t="shared" si="10"/>
        <v>2.8693181818181817</v>
      </c>
      <c r="D275" s="97" t="s">
        <v>88</v>
      </c>
      <c r="E275" s="98">
        <v>12</v>
      </c>
      <c r="F275" s="99" t="s">
        <v>338</v>
      </c>
      <c r="G275" s="100" t="s">
        <v>319</v>
      </c>
    </row>
    <row r="276" spans="1:7" ht="15">
      <c r="A276" s="94" t="s">
        <v>382</v>
      </c>
      <c r="B276" s="95">
        <v>527</v>
      </c>
      <c r="C276" s="96">
        <f t="shared" si="10"/>
        <v>7.4857954545454541</v>
      </c>
      <c r="D276" s="97" t="s">
        <v>88</v>
      </c>
      <c r="E276" s="98">
        <v>12</v>
      </c>
      <c r="F276" s="99" t="s">
        <v>338</v>
      </c>
      <c r="G276" s="100" t="s">
        <v>319</v>
      </c>
    </row>
    <row r="277" spans="1:7" ht="15">
      <c r="A277" s="94" t="s">
        <v>383</v>
      </c>
      <c r="B277" s="95">
        <v>202</v>
      </c>
      <c r="C277" s="96">
        <f t="shared" si="10"/>
        <v>2.8693181818181817</v>
      </c>
      <c r="D277" s="97" t="s">
        <v>88</v>
      </c>
      <c r="E277" s="98">
        <v>12</v>
      </c>
      <c r="F277" s="99" t="s">
        <v>338</v>
      </c>
      <c r="G277" s="100" t="s">
        <v>319</v>
      </c>
    </row>
    <row r="278" spans="1:7" ht="15">
      <c r="A278" s="94" t="s">
        <v>380</v>
      </c>
      <c r="B278" s="95">
        <v>202</v>
      </c>
      <c r="C278" s="96">
        <f t="shared" si="10"/>
        <v>2.8693181818181817</v>
      </c>
      <c r="D278" s="97" t="s">
        <v>88</v>
      </c>
      <c r="E278" s="98">
        <v>12</v>
      </c>
      <c r="F278" s="99" t="s">
        <v>338</v>
      </c>
      <c r="G278" s="100" t="s">
        <v>319</v>
      </c>
    </row>
    <row r="279" spans="1:7" ht="15">
      <c r="A279" s="94"/>
      <c r="B279" s="110"/>
      <c r="C279" s="96"/>
      <c r="D279" s="97"/>
      <c r="E279" s="98"/>
      <c r="F279" s="99"/>
      <c r="G279" s="107"/>
    </row>
    <row r="280" spans="1:7" ht="15">
      <c r="A280" s="94"/>
      <c r="B280" s="95"/>
      <c r="C280" s="96"/>
      <c r="D280" s="97"/>
      <c r="E280" s="98"/>
      <c r="F280" s="99"/>
      <c r="G280" s="107"/>
    </row>
    <row r="281" spans="1:7" ht="27.75">
      <c r="A281" s="119" t="s">
        <v>384</v>
      </c>
      <c r="B281" s="89"/>
      <c r="C281" s="90"/>
      <c r="D281" s="103"/>
      <c r="E281" s="104"/>
      <c r="F281" s="99"/>
      <c r="G281" s="105"/>
    </row>
    <row r="282" spans="1:7" ht="15">
      <c r="A282" s="94" t="s">
        <v>385</v>
      </c>
      <c r="B282" s="95">
        <v>35</v>
      </c>
      <c r="C282" s="96">
        <f>B282/70.4</f>
        <v>0.49715909090909088</v>
      </c>
      <c r="D282" s="97" t="s">
        <v>88</v>
      </c>
      <c r="E282" s="98">
        <v>20</v>
      </c>
      <c r="F282" s="99" t="s">
        <v>338</v>
      </c>
      <c r="G282" s="100" t="s">
        <v>386</v>
      </c>
    </row>
    <row r="283" spans="1:7" ht="15">
      <c r="A283" s="94" t="s">
        <v>387</v>
      </c>
      <c r="B283" s="95">
        <v>35</v>
      </c>
      <c r="C283" s="96">
        <f>B283/70.4</f>
        <v>0.49715909090909088</v>
      </c>
      <c r="D283" s="97" t="s">
        <v>88</v>
      </c>
      <c r="E283" s="98">
        <v>20</v>
      </c>
      <c r="F283" s="99" t="s">
        <v>338</v>
      </c>
      <c r="G283" s="100" t="s">
        <v>386</v>
      </c>
    </row>
    <row r="284" spans="1:7" ht="15.75" thickBot="1">
      <c r="A284" s="120" t="s">
        <v>388</v>
      </c>
      <c r="B284" s="121">
        <v>35</v>
      </c>
      <c r="C284" s="122">
        <f>B284/70.4</f>
        <v>0.49715909090909088</v>
      </c>
      <c r="D284" s="123" t="s">
        <v>88</v>
      </c>
      <c r="E284" s="124">
        <v>20</v>
      </c>
      <c r="F284" s="125" t="s">
        <v>338</v>
      </c>
      <c r="G284" s="126" t="s">
        <v>386</v>
      </c>
    </row>
    <row r="285" spans="1:7" ht="15.75" thickBot="1">
      <c r="A285" s="111"/>
      <c r="B285" s="112"/>
      <c r="C285" s="113"/>
      <c r="D285" s="115"/>
      <c r="E285" s="115"/>
      <c r="F285" s="115"/>
      <c r="G285" s="115"/>
    </row>
    <row r="286" spans="1:7" ht="27.75">
      <c r="A286" s="127" t="s">
        <v>389</v>
      </c>
      <c r="B286" s="128"/>
      <c r="C286" s="129"/>
      <c r="D286" s="130"/>
      <c r="E286" s="131"/>
      <c r="F286" s="132"/>
      <c r="G286" s="132"/>
    </row>
    <row r="287" spans="1:7" ht="15">
      <c r="A287" s="94" t="s">
        <v>390</v>
      </c>
      <c r="B287" s="95">
        <v>114</v>
      </c>
      <c r="C287" s="96">
        <f>B287/70.4</f>
        <v>1.6193181818181817</v>
      </c>
      <c r="D287" s="97" t="s">
        <v>88</v>
      </c>
      <c r="E287" s="107">
        <v>1</v>
      </c>
      <c r="F287" s="115"/>
      <c r="G287" s="115"/>
    </row>
    <row r="288" spans="1:7" ht="15">
      <c r="A288" s="94" t="s">
        <v>391</v>
      </c>
      <c r="B288" s="95">
        <v>177</v>
      </c>
      <c r="C288" s="96">
        <f>B288/70.4</f>
        <v>2.5142045454545454</v>
      </c>
      <c r="D288" s="97" t="s">
        <v>88</v>
      </c>
      <c r="E288" s="107">
        <v>1</v>
      </c>
      <c r="F288" s="115"/>
      <c r="G288" s="115"/>
    </row>
    <row r="289" spans="1:7" ht="15.75" thickBot="1">
      <c r="A289" s="120" t="s">
        <v>392</v>
      </c>
      <c r="B289" s="121">
        <v>300</v>
      </c>
      <c r="C289" s="122">
        <f>B289/70.4</f>
        <v>4.2613636363636358</v>
      </c>
      <c r="D289" s="123" t="s">
        <v>88</v>
      </c>
      <c r="E289" s="133">
        <v>1</v>
      </c>
      <c r="F289" s="115"/>
      <c r="G289" s="115"/>
    </row>
    <row r="290" spans="1:7" ht="15">
      <c r="A290" s="134"/>
      <c r="B290" s="112"/>
      <c r="C290" s="113"/>
      <c r="D290" s="115"/>
      <c r="E290" s="115"/>
      <c r="F290" s="115"/>
      <c r="G290" s="1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Confectionery</vt:lpstr>
      <vt:lpstr>Flour,Сereals,Оil</vt:lpstr>
      <vt:lpstr>Frozen berries,mushrooms</vt:lpstr>
      <vt:lpstr> Ingredients </vt:lpstr>
      <vt:lpstr>Siberian foods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Шарипова Елена Аркадьевна</dc:creator>
  <cp:lastModifiedBy>VGood</cp:lastModifiedBy>
  <cp:lastPrinted>2016-03-17T10:09:56Z</cp:lastPrinted>
  <dcterms:created xsi:type="dcterms:W3CDTF">2015-04-23T09:15:44Z</dcterms:created>
  <dcterms:modified xsi:type="dcterms:W3CDTF">2016-07-14T12:01:03Z</dcterms:modified>
</cp:coreProperties>
</file>